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Historical Ecology\Projects-Research\Flood Control 2.0\Research\Economics Analysis\4_Report\"/>
    </mc:Choice>
  </mc:AlternateContent>
  <bookViews>
    <workbookView xWindow="13560" yWindow="465" windowWidth="28575" windowHeight="17460" tabRatio="828"/>
  </bookViews>
  <sheets>
    <sheet name="Project_Master" sheetId="24" r:id="rId1"/>
    <sheet name="Alternatives_Assumptions" sheetId="1" r:id="rId2"/>
    <sheet name="Benefits_FloodRisk" sheetId="26" r:id="rId3"/>
    <sheet name="Benefits_Rec" sheetId="18" r:id="rId4"/>
    <sheet name="Benefits_Env_Other" sheetId="19" r:id="rId5"/>
    <sheet name="Ag_Revenues" sheetId="27" r:id="rId6"/>
    <sheet name="Costs_O_and_M" sheetId="17" r:id="rId7"/>
    <sheet name="Costs_Capital" sheetId="11" r:id="rId8"/>
    <sheet name="BCA_Summary" sheetId="14" r:id="rId9"/>
    <sheet name="BCA_Summary_85" sheetId="29" r:id="rId10"/>
  </sheets>
  <definedNames>
    <definedName name="NPVHi_CapCost_Alt0" localSheetId="2">Benefits_FloodRisk!#REF!</definedName>
    <definedName name="NPVHi_CapCost_Alt0">Costs_Capital!$F$18:$F$102</definedName>
    <definedName name="NPVHi_CapCost_Alt1" localSheetId="2">Benefits_FloodRisk!#REF!</definedName>
    <definedName name="NPVHi_CapCost_Alt1">Costs_Capital!$L$18:$L$102</definedName>
    <definedName name="NPVHi_CapCost_Alt2" localSheetId="9">Costs_Capital!#REF!</definedName>
    <definedName name="NPVHi_CapCost_Alt2" localSheetId="2">Benefits_FloodRisk!#REF!</definedName>
    <definedName name="NPVHi_CapCost_Alt2">Costs_Capital!#REF!</definedName>
    <definedName name="NPVHi_OpCost_Alt0" localSheetId="9">Costs_O_and_M!#REF!</definedName>
    <definedName name="NPVHi_OpCost_Alt0">Costs_O_and_M!#REF!</definedName>
    <definedName name="NPVHi_OpCost_Alt1" localSheetId="9">Costs_O_and_M!#REF!</definedName>
    <definedName name="NPVHi_OpCost_Alt1">Costs_O_and_M!#REF!</definedName>
    <definedName name="NPVHi_OpCost_Alt2" localSheetId="9">Costs_O_and_M!#REF!</definedName>
    <definedName name="NPVHi_OpCost_Alt2">Costs_O_and_M!#REF!</definedName>
    <definedName name="NPVLow_CapCost_Alt0" localSheetId="2">Benefits_FloodRisk!#REF!</definedName>
    <definedName name="NPVLow_CapCost_Alt0">Costs_Capital!$D$18:$D$102</definedName>
    <definedName name="NPVLow_CapCost_Alt1" localSheetId="2">Benefits_FloodRisk!#REF!</definedName>
    <definedName name="NPVLow_CapCost_Alt1">Costs_Capital!$J$18:$J$102</definedName>
    <definedName name="NPVLow_CapCost_Alt2" localSheetId="9">Costs_Capital!#REF!</definedName>
    <definedName name="NPVLow_CapCost_Alt2" localSheetId="2">Benefits_FloodRisk!#REF!</definedName>
    <definedName name="NPVLow_CapCost_Alt2">Costs_Capital!#REF!</definedName>
    <definedName name="NPVLow_OpCost_Alt0" localSheetId="9">Costs_O_and_M!#REF!</definedName>
    <definedName name="NPVLow_OpCost_Alt0">Costs_O_and_M!#REF!</definedName>
    <definedName name="NPVLow_OpCost_Alt1" localSheetId="9">Costs_O_and_M!#REF!</definedName>
    <definedName name="NPVLow_OpCost_Alt1">Costs_O_and_M!#REF!</definedName>
    <definedName name="NPVLow_OpCost_Alt2" localSheetId="9">Costs_O_and_M!#REF!</definedName>
    <definedName name="NPVLow_OpCost_Alt2">Costs_O_and_M!#REF!</definedName>
    <definedName name="NPVMid_CapCost_Alt0" localSheetId="2">Benefits_FloodRisk!#REF!</definedName>
    <definedName name="NPVMid_CapCost_Alt0">Costs_Capital!$E$18:$E$102</definedName>
    <definedName name="NPVMid_CapCost_Alt1" localSheetId="2">Benefits_FloodRisk!#REF!</definedName>
    <definedName name="NPVMid_CapCost_Alt1">Costs_Capital!$K$18:$K$102</definedName>
    <definedName name="NPVMid_CapCost_Alt2" localSheetId="9">Costs_Capital!#REF!</definedName>
    <definedName name="NPVMid_CapCost_Alt2" localSheetId="2">Benefits_FloodRisk!#REF!</definedName>
    <definedName name="NPVMid_CapCost_Alt2">Costs_Capital!#REF!</definedName>
    <definedName name="NPVMid_OpCost_Alt0" localSheetId="9">Costs_O_and_M!#REF!</definedName>
    <definedName name="NPVMid_OpCost_Alt0">Costs_O_and_M!#REF!</definedName>
    <definedName name="NPVMid_OpCost_Alt1" localSheetId="9">Costs_O_and_M!#REF!</definedName>
    <definedName name="NPVMid_OpCost_Alt1">Costs_O_and_M!#REF!</definedName>
    <definedName name="NPVMid_OpCost_Alt2" localSheetId="9">Costs_O_and_M!#REF!</definedName>
    <definedName name="NPVMid_OpCost_Alt2">Costs_O_and_M!#REF!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29" l="1"/>
  <c r="L22" i="29" s="1"/>
  <c r="O15" i="29"/>
  <c r="M9" i="29"/>
  <c r="K22" i="29" s="1"/>
  <c r="K9" i="29"/>
  <c r="J22" i="29" s="1"/>
  <c r="G9" i="29"/>
  <c r="D22" i="29" s="1"/>
  <c r="G15" i="29"/>
  <c r="E9" i="29"/>
  <c r="C22" i="29"/>
  <c r="C9" i="29"/>
  <c r="B22" i="29" s="1"/>
  <c r="M15" i="29"/>
  <c r="L21" i="29"/>
  <c r="J21" i="29"/>
  <c r="E15" i="29"/>
  <c r="D21" i="29"/>
  <c r="C21" i="29"/>
  <c r="K15" i="29"/>
  <c r="L20" i="29"/>
  <c r="J20" i="29"/>
  <c r="C15" i="29"/>
  <c r="D20" i="29"/>
  <c r="C20" i="29"/>
  <c r="N15" i="29"/>
  <c r="L15" i="29"/>
  <c r="J15" i="29"/>
  <c r="F15" i="29"/>
  <c r="D15" i="29"/>
  <c r="B15" i="29"/>
  <c r="N9" i="29"/>
  <c r="L9" i="29"/>
  <c r="J9" i="29"/>
  <c r="F9" i="29"/>
  <c r="D9" i="29"/>
  <c r="B9" i="29"/>
  <c r="I1" i="29"/>
  <c r="A1" i="29"/>
  <c r="C6" i="24"/>
  <c r="C42" i="18" s="1"/>
  <c r="C57" i="18" s="1"/>
  <c r="B42" i="18"/>
  <c r="D42" i="18"/>
  <c r="B3" i="26"/>
  <c r="C37" i="18"/>
  <c r="E37" i="18"/>
  <c r="F9" i="17"/>
  <c r="J9" i="17" s="1"/>
  <c r="J11" i="17" s="1"/>
  <c r="F10" i="17"/>
  <c r="J10" i="17"/>
  <c r="F14" i="17"/>
  <c r="J14" i="17" s="1"/>
  <c r="F15" i="17"/>
  <c r="J15" i="17" s="1"/>
  <c r="F16" i="17"/>
  <c r="J16" i="17" s="1"/>
  <c r="F17" i="17"/>
  <c r="J17" i="17" s="1"/>
  <c r="J23" i="17"/>
  <c r="J28" i="17"/>
  <c r="F33" i="17"/>
  <c r="J33" i="17" s="1"/>
  <c r="J36" i="17" s="1"/>
  <c r="F34" i="17"/>
  <c r="J34" i="17"/>
  <c r="F35" i="17"/>
  <c r="J35" i="17" s="1"/>
  <c r="J41" i="17"/>
  <c r="K6" i="17"/>
  <c r="F11" i="17"/>
  <c r="F21" i="17"/>
  <c r="F22" i="17"/>
  <c r="F23" i="17"/>
  <c r="F27" i="17"/>
  <c r="F28" i="17" s="1"/>
  <c r="F31" i="17"/>
  <c r="F36" i="17"/>
  <c r="F40" i="17"/>
  <c r="F41" i="17" s="1"/>
  <c r="I6" i="17"/>
  <c r="I50" i="26"/>
  <c r="J37" i="26"/>
  <c r="J36" i="26"/>
  <c r="J50" i="26" s="1"/>
  <c r="H37" i="26"/>
  <c r="H36" i="26"/>
  <c r="H50" i="26" s="1"/>
  <c r="I33" i="26"/>
  <c r="J33" i="26" s="1"/>
  <c r="H33" i="26"/>
  <c r="D8" i="26"/>
  <c r="D9" i="26" s="1"/>
  <c r="D7" i="26" s="1"/>
  <c r="D31" i="26" s="1"/>
  <c r="D10" i="26"/>
  <c r="D11" i="26" s="1"/>
  <c r="C36" i="26"/>
  <c r="C50" i="26" s="1"/>
  <c r="E36" i="26"/>
  <c r="E50" i="26" s="1"/>
  <c r="D50" i="26"/>
  <c r="D14" i="26"/>
  <c r="D32" i="26"/>
  <c r="E32" i="26" s="1"/>
  <c r="D33" i="26"/>
  <c r="E33" i="26" s="1"/>
  <c r="D16" i="26"/>
  <c r="D34" i="26" s="1"/>
  <c r="D17" i="26"/>
  <c r="D35" i="26"/>
  <c r="B13" i="11"/>
  <c r="E4" i="1"/>
  <c r="F5" i="11"/>
  <c r="E7" i="1"/>
  <c r="F6" i="11" s="1"/>
  <c r="E10" i="1"/>
  <c r="F7" i="11"/>
  <c r="E13" i="1"/>
  <c r="F8" i="11" s="1"/>
  <c r="E16" i="1"/>
  <c r="F9" i="11" s="1"/>
  <c r="D4" i="1"/>
  <c r="E5" i="11"/>
  <c r="D7" i="1"/>
  <c r="E6" i="11"/>
  <c r="D10" i="1"/>
  <c r="E7" i="11"/>
  <c r="D13" i="1"/>
  <c r="E8" i="11"/>
  <c r="D16" i="1"/>
  <c r="E9" i="11"/>
  <c r="C4" i="1"/>
  <c r="D5" i="11"/>
  <c r="C7" i="1"/>
  <c r="D6" i="11" s="1"/>
  <c r="C10" i="1"/>
  <c r="D7" i="11"/>
  <c r="C13" i="1"/>
  <c r="D8" i="11" s="1"/>
  <c r="C16" i="1"/>
  <c r="D9" i="11" s="1"/>
  <c r="I4" i="1"/>
  <c r="L5" i="11" s="1"/>
  <c r="I7" i="1"/>
  <c r="L6" i="11"/>
  <c r="I10" i="1"/>
  <c r="L7" i="11" s="1"/>
  <c r="I13" i="1"/>
  <c r="L8" i="11"/>
  <c r="B57" i="1"/>
  <c r="D57" i="1" s="1"/>
  <c r="E57" i="1" s="1"/>
  <c r="I16" i="1"/>
  <c r="L9" i="11"/>
  <c r="L109" i="11"/>
  <c r="H13" i="11"/>
  <c r="H4" i="1"/>
  <c r="K5" i="11" s="1"/>
  <c r="H7" i="1"/>
  <c r="K6" i="11"/>
  <c r="K107" i="11" s="1"/>
  <c r="H10" i="1"/>
  <c r="K7" i="11" s="1"/>
  <c r="H13" i="1"/>
  <c r="K8" i="11"/>
  <c r="H16" i="1"/>
  <c r="K9" i="11" s="1"/>
  <c r="K110" i="11"/>
  <c r="G4" i="1"/>
  <c r="J5" i="11"/>
  <c r="G7" i="1"/>
  <c r="J6" i="11" s="1"/>
  <c r="J107" i="11" s="1"/>
  <c r="G10" i="1"/>
  <c r="J7" i="11"/>
  <c r="J108" i="11" s="1"/>
  <c r="G13" i="1"/>
  <c r="J8" i="11" s="1"/>
  <c r="G16" i="1"/>
  <c r="J9" i="11"/>
  <c r="J110" i="11" s="1"/>
  <c r="B56" i="1"/>
  <c r="D56" i="1" s="1"/>
  <c r="E56" i="1"/>
  <c r="E59" i="1" s="1"/>
  <c r="B58" i="1"/>
  <c r="D58" i="1" s="1"/>
  <c r="E58" i="1"/>
  <c r="H111" i="11"/>
  <c r="H110" i="11"/>
  <c r="L110" i="11" s="1"/>
  <c r="H108" i="11"/>
  <c r="L108" i="11" s="1"/>
  <c r="H109" i="11"/>
  <c r="H112" i="11"/>
  <c r="H107" i="11"/>
  <c r="H106" i="11"/>
  <c r="L106" i="11" s="1"/>
  <c r="I8" i="26"/>
  <c r="I9" i="26" s="1"/>
  <c r="I7" i="26" s="1"/>
  <c r="I31" i="26" s="1"/>
  <c r="I10" i="26"/>
  <c r="I11" i="26" s="1"/>
  <c r="H21" i="26"/>
  <c r="J21" i="26" s="1"/>
  <c r="H22" i="26"/>
  <c r="J22" i="26"/>
  <c r="H23" i="26"/>
  <c r="I14" i="26"/>
  <c r="I32" i="26" s="1"/>
  <c r="I15" i="26"/>
  <c r="I16" i="26"/>
  <c r="I34" i="26" s="1"/>
  <c r="I17" i="26"/>
  <c r="I35" i="26" s="1"/>
  <c r="G38" i="18"/>
  <c r="D7" i="18"/>
  <c r="D10" i="18"/>
  <c r="D11" i="18"/>
  <c r="D12" i="18"/>
  <c r="D13" i="18"/>
  <c r="M2" i="19"/>
  <c r="B37" i="19"/>
  <c r="S6" i="19"/>
  <c r="B28" i="19"/>
  <c r="C28" i="19"/>
  <c r="D28" i="19"/>
  <c r="E28" i="19"/>
  <c r="F28" i="19"/>
  <c r="G28" i="19"/>
  <c r="B38" i="19"/>
  <c r="T6" i="19"/>
  <c r="T11" i="19" s="1"/>
  <c r="T12" i="19" s="1"/>
  <c r="T13" i="19" s="1"/>
  <c r="T14" i="19" s="1"/>
  <c r="T15" i="19" s="1"/>
  <c r="T16" i="19" s="1"/>
  <c r="T17" i="19" s="1"/>
  <c r="T18" i="19" s="1"/>
  <c r="B29" i="19"/>
  <c r="C29" i="19"/>
  <c r="D29" i="19"/>
  <c r="E29" i="19"/>
  <c r="F29" i="19"/>
  <c r="G29" i="19"/>
  <c r="B39" i="19"/>
  <c r="U6" i="19"/>
  <c r="D30" i="19"/>
  <c r="E30" i="19"/>
  <c r="G30" i="19"/>
  <c r="B40" i="19"/>
  <c r="V6" i="19" s="1"/>
  <c r="B31" i="19"/>
  <c r="D31" i="19"/>
  <c r="E31" i="19"/>
  <c r="G31" i="19"/>
  <c r="B41" i="19"/>
  <c r="W6" i="19" s="1"/>
  <c r="D32" i="19"/>
  <c r="E32" i="19"/>
  <c r="G32" i="19"/>
  <c r="B42" i="19"/>
  <c r="X6" i="19"/>
  <c r="X11" i="19" s="1"/>
  <c r="X12" i="19" s="1"/>
  <c r="X13" i="19" s="1"/>
  <c r="X14" i="19" s="1"/>
  <c r="X15" i="19" s="1"/>
  <c r="X16" i="19" s="1"/>
  <c r="X17" i="19" s="1"/>
  <c r="X18" i="19" s="1"/>
  <c r="X19" i="19" s="1"/>
  <c r="X20" i="19" s="1"/>
  <c r="X21" i="19" s="1"/>
  <c r="X22" i="19" s="1"/>
  <c r="X23" i="19" s="1"/>
  <c r="X24" i="19" s="1"/>
  <c r="X25" i="19" s="1"/>
  <c r="X26" i="19" s="1"/>
  <c r="X27" i="19" s="1"/>
  <c r="X28" i="19" s="1"/>
  <c r="X29" i="19" s="1"/>
  <c r="C33" i="19"/>
  <c r="D33" i="19"/>
  <c r="S7" i="19"/>
  <c r="T7" i="19"/>
  <c r="U7" i="19"/>
  <c r="W7" i="19"/>
  <c r="X7" i="19"/>
  <c r="S8" i="19"/>
  <c r="T8" i="19"/>
  <c r="U8" i="19"/>
  <c r="X8" i="19"/>
  <c r="S9" i="19"/>
  <c r="T9" i="19"/>
  <c r="U9" i="19"/>
  <c r="V9" i="19"/>
  <c r="W9" i="19"/>
  <c r="X9" i="19"/>
  <c r="S10" i="19"/>
  <c r="T10" i="19"/>
  <c r="U10" i="19"/>
  <c r="V10" i="19"/>
  <c r="W10" i="19"/>
  <c r="W11" i="19" s="1"/>
  <c r="W12" i="19" s="1"/>
  <c r="W13" i="19" s="1"/>
  <c r="W14" i="19" s="1"/>
  <c r="W15" i="19" s="1"/>
  <c r="W16" i="19" s="1"/>
  <c r="W17" i="19" s="1"/>
  <c r="W18" i="19" s="1"/>
  <c r="W19" i="19" s="1"/>
  <c r="W20" i="19" s="1"/>
  <c r="W21" i="19" s="1"/>
  <c r="W22" i="19" s="1"/>
  <c r="W23" i="19" s="1"/>
  <c r="W24" i="19" s="1"/>
  <c r="W25" i="19" s="1"/>
  <c r="W26" i="19" s="1"/>
  <c r="W27" i="19" s="1"/>
  <c r="W28" i="19" s="1"/>
  <c r="W29" i="19" s="1"/>
  <c r="X10" i="19"/>
  <c r="C37" i="19"/>
  <c r="X31" i="19" s="1"/>
  <c r="S30" i="19"/>
  <c r="S31" i="19" s="1"/>
  <c r="C38" i="19"/>
  <c r="T30" i="19"/>
  <c r="T31" i="19" s="1"/>
  <c r="C39" i="19"/>
  <c r="U30" i="19" s="1"/>
  <c r="U11" i="19"/>
  <c r="C40" i="19"/>
  <c r="V30" i="19" s="1"/>
  <c r="C41" i="19"/>
  <c r="W30" i="19"/>
  <c r="C42" i="19"/>
  <c r="X30" i="19"/>
  <c r="U12" i="19"/>
  <c r="U13" i="19" s="1"/>
  <c r="U14" i="19" s="1"/>
  <c r="U15" i="19" s="1"/>
  <c r="U16" i="19" s="1"/>
  <c r="U17" i="19" s="1"/>
  <c r="U18" i="19" s="1"/>
  <c r="U19" i="19" s="1"/>
  <c r="U20" i="19" s="1"/>
  <c r="U21" i="19" s="1"/>
  <c r="U22" i="19" s="1"/>
  <c r="U23" i="19" s="1"/>
  <c r="U24" i="19" s="1"/>
  <c r="U25" i="19" s="1"/>
  <c r="U26" i="19" s="1"/>
  <c r="U27" i="19" s="1"/>
  <c r="U28" i="19" s="1"/>
  <c r="U29" i="19" s="1"/>
  <c r="T19" i="19"/>
  <c r="T20" i="19" s="1"/>
  <c r="T21" i="19" s="1"/>
  <c r="T22" i="19" s="1"/>
  <c r="T23" i="19" s="1"/>
  <c r="T24" i="19" s="1"/>
  <c r="T25" i="19" s="1"/>
  <c r="T26" i="19" s="1"/>
  <c r="T27" i="19" s="1"/>
  <c r="T28" i="19" s="1"/>
  <c r="T29" i="19" s="1"/>
  <c r="U31" i="19"/>
  <c r="V31" i="19"/>
  <c r="V32" i="19" s="1"/>
  <c r="V33" i="19" s="1"/>
  <c r="W31" i="19"/>
  <c r="T32" i="19"/>
  <c r="T33" i="19" s="1"/>
  <c r="T34" i="19" s="1"/>
  <c r="T35" i="19" s="1"/>
  <c r="U32" i="19"/>
  <c r="W32" i="19"/>
  <c r="W33" i="19" s="1"/>
  <c r="W34" i="19" s="1"/>
  <c r="X32" i="19"/>
  <c r="U33" i="19"/>
  <c r="U34" i="19" s="1"/>
  <c r="U35" i="19" s="1"/>
  <c r="U36" i="19" s="1"/>
  <c r="U37" i="19" s="1"/>
  <c r="U38" i="19" s="1"/>
  <c r="U39" i="19" s="1"/>
  <c r="U40" i="19" s="1"/>
  <c r="U41" i="19" s="1"/>
  <c r="U42" i="19" s="1"/>
  <c r="U43" i="19" s="1"/>
  <c r="U44" i="19" s="1"/>
  <c r="U45" i="19" s="1"/>
  <c r="U46" i="19" s="1"/>
  <c r="U47" i="19" s="1"/>
  <c r="U48" i="19" s="1"/>
  <c r="U49" i="19" s="1"/>
  <c r="U50" i="19" s="1"/>
  <c r="U51" i="19" s="1"/>
  <c r="U52" i="19" s="1"/>
  <c r="U53" i="19" s="1"/>
  <c r="U54" i="19" s="1"/>
  <c r="U55" i="19" s="1"/>
  <c r="X33" i="19"/>
  <c r="V34" i="19"/>
  <c r="V35" i="19" s="1"/>
  <c r="V36" i="19" s="1"/>
  <c r="V37" i="19" s="1"/>
  <c r="X34" i="19"/>
  <c r="W35" i="19"/>
  <c r="W36" i="19" s="1"/>
  <c r="W37" i="19" s="1"/>
  <c r="W38" i="19" s="1"/>
  <c r="X35" i="19"/>
  <c r="T36" i="19"/>
  <c r="T37" i="19" s="1"/>
  <c r="T38" i="19" s="1"/>
  <c r="T39" i="19" s="1"/>
  <c r="T40" i="19" s="1"/>
  <c r="T41" i="19" s="1"/>
  <c r="T42" i="19" s="1"/>
  <c r="T43" i="19" s="1"/>
  <c r="T44" i="19" s="1"/>
  <c r="T45" i="19" s="1"/>
  <c r="T46" i="19" s="1"/>
  <c r="T47" i="19" s="1"/>
  <c r="T48" i="19" s="1"/>
  <c r="T49" i="19" s="1"/>
  <c r="T50" i="19" s="1"/>
  <c r="T51" i="19" s="1"/>
  <c r="T52" i="19" s="1"/>
  <c r="T53" i="19" s="1"/>
  <c r="T54" i="19" s="1"/>
  <c r="T55" i="19" s="1"/>
  <c r="X36" i="19"/>
  <c r="X37" i="19"/>
  <c r="V38" i="19"/>
  <c r="V39" i="19" s="1"/>
  <c r="V40" i="19" s="1"/>
  <c r="V41" i="19" s="1"/>
  <c r="V42" i="19" s="1"/>
  <c r="V43" i="19" s="1"/>
  <c r="V44" i="19" s="1"/>
  <c r="V45" i="19" s="1"/>
  <c r="V46" i="19" s="1"/>
  <c r="V47" i="19" s="1"/>
  <c r="V48" i="19" s="1"/>
  <c r="V49" i="19" s="1"/>
  <c r="V50" i="19" s="1"/>
  <c r="V51" i="19" s="1"/>
  <c r="V52" i="19" s="1"/>
  <c r="V53" i="19" s="1"/>
  <c r="V54" i="19" s="1"/>
  <c r="V55" i="19" s="1"/>
  <c r="X38" i="19"/>
  <c r="W39" i="19"/>
  <c r="W40" i="19" s="1"/>
  <c r="W41" i="19" s="1"/>
  <c r="W42" i="19" s="1"/>
  <c r="W43" i="19" s="1"/>
  <c r="W44" i="19" s="1"/>
  <c r="W45" i="19" s="1"/>
  <c r="W46" i="19" s="1"/>
  <c r="W47" i="19" s="1"/>
  <c r="W48" i="19" s="1"/>
  <c r="W49" i="19" s="1"/>
  <c r="W50" i="19" s="1"/>
  <c r="W51" i="19" s="1"/>
  <c r="W52" i="19" s="1"/>
  <c r="W53" i="19" s="1"/>
  <c r="W54" i="19" s="1"/>
  <c r="W55" i="19" s="1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B20" i="19"/>
  <c r="Z30" i="19" s="1"/>
  <c r="C20" i="19"/>
  <c r="D20" i="19"/>
  <c r="E20" i="19"/>
  <c r="F20" i="19"/>
  <c r="G20" i="19"/>
  <c r="B21" i="19"/>
  <c r="C21" i="19"/>
  <c r="D21" i="19"/>
  <c r="E21" i="19"/>
  <c r="F21" i="19"/>
  <c r="G21" i="19"/>
  <c r="D22" i="19"/>
  <c r="E22" i="19"/>
  <c r="G22" i="19"/>
  <c r="B23" i="19"/>
  <c r="D23" i="19"/>
  <c r="E23" i="19"/>
  <c r="G23" i="19"/>
  <c r="D24" i="19"/>
  <c r="E24" i="19"/>
  <c r="G24" i="19"/>
  <c r="C25" i="19"/>
  <c r="D25" i="19"/>
  <c r="Z10" i="19"/>
  <c r="C12" i="19"/>
  <c r="D12" i="19"/>
  <c r="E12" i="19"/>
  <c r="Y30" i="19" s="1"/>
  <c r="F12" i="19"/>
  <c r="E13" i="19"/>
  <c r="F13" i="19"/>
  <c r="E14" i="19"/>
  <c r="E15" i="19"/>
  <c r="E16" i="19"/>
  <c r="Y10" i="19"/>
  <c r="Y31" i="19"/>
  <c r="Q8" i="19"/>
  <c r="Q13" i="19"/>
  <c r="Q19" i="19"/>
  <c r="Q24" i="19"/>
  <c r="Q29" i="19"/>
  <c r="Q33" i="19"/>
  <c r="Q37" i="19"/>
  <c r="Q41" i="19"/>
  <c r="Q45" i="19"/>
  <c r="Q49" i="19"/>
  <c r="Q53" i="19"/>
  <c r="P6" i="19"/>
  <c r="P2" i="19" s="1"/>
  <c r="E8" i="14" s="1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O6" i="19"/>
  <c r="O7" i="19"/>
  <c r="O2" i="19" s="1"/>
  <c r="C8" i="14" s="1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C7" i="14"/>
  <c r="B22" i="27"/>
  <c r="J7" i="14" s="1"/>
  <c r="B24" i="27"/>
  <c r="F7" i="14" s="1"/>
  <c r="B17" i="27"/>
  <c r="C17" i="27"/>
  <c r="C6" i="27"/>
  <c r="C8" i="27"/>
  <c r="B23" i="27"/>
  <c r="D7" i="14" s="1"/>
  <c r="D23" i="27"/>
  <c r="M7" i="14" s="1"/>
  <c r="C22" i="27"/>
  <c r="B6" i="27"/>
  <c r="B8" i="27" s="1"/>
  <c r="G25" i="26"/>
  <c r="H25" i="26"/>
  <c r="J25" i="26"/>
  <c r="H24" i="26"/>
  <c r="J24" i="26"/>
  <c r="C21" i="26"/>
  <c r="E21" i="26" s="1"/>
  <c r="E27" i="26" s="1"/>
  <c r="C22" i="26"/>
  <c r="E22" i="26"/>
  <c r="C23" i="26"/>
  <c r="E23" i="26" s="1"/>
  <c r="D15" i="26"/>
  <c r="B7" i="18"/>
  <c r="B11" i="18" s="1"/>
  <c r="B10" i="18"/>
  <c r="B13" i="18"/>
  <c r="B25" i="26"/>
  <c r="C25" i="26"/>
  <c r="E25" i="26"/>
  <c r="B110" i="11"/>
  <c r="F110" i="11"/>
  <c r="E110" i="11"/>
  <c r="D110" i="11"/>
  <c r="B42" i="1"/>
  <c r="G39" i="1"/>
  <c r="C24" i="26"/>
  <c r="E24" i="26" s="1"/>
  <c r="A1" i="14"/>
  <c r="G1" i="1"/>
  <c r="R1" i="19"/>
  <c r="A52" i="19"/>
  <c r="A5" i="11"/>
  <c r="G5" i="11"/>
  <c r="G106" i="11" s="1"/>
  <c r="A6" i="11"/>
  <c r="G6" i="11"/>
  <c r="A7" i="11"/>
  <c r="G7" i="11"/>
  <c r="A8" i="11"/>
  <c r="G8" i="11"/>
  <c r="A10" i="11"/>
  <c r="G10" i="11"/>
  <c r="G111" i="11" s="1"/>
  <c r="A11" i="11"/>
  <c r="G11" i="11" s="1"/>
  <c r="G112" i="11" s="1"/>
  <c r="G13" i="11"/>
  <c r="E3" i="17"/>
  <c r="I3" i="17" s="1"/>
  <c r="E2" i="17"/>
  <c r="I1" i="17"/>
  <c r="E1" i="17"/>
  <c r="W2" i="19"/>
  <c r="C36" i="19"/>
  <c r="H1" i="19"/>
  <c r="B36" i="19"/>
  <c r="B47" i="18"/>
  <c r="C47" i="18"/>
  <c r="D47" i="18"/>
  <c r="E47" i="18"/>
  <c r="D1" i="18"/>
  <c r="A55" i="18" s="1"/>
  <c r="B1" i="18"/>
  <c r="A50" i="18"/>
  <c r="A44" i="18"/>
  <c r="A34" i="18"/>
  <c r="C44" i="1"/>
  <c r="C1" i="1"/>
  <c r="B44" i="1" s="1"/>
  <c r="F1" i="26"/>
  <c r="A1" i="26"/>
  <c r="F41" i="26"/>
  <c r="G3" i="26"/>
  <c r="G41" i="1"/>
  <c r="G40" i="1"/>
  <c r="G38" i="1"/>
  <c r="G42" i="1" s="1"/>
  <c r="G37" i="1"/>
  <c r="G36" i="1"/>
  <c r="G35" i="1"/>
  <c r="C35" i="1"/>
  <c r="C24" i="1"/>
  <c r="B8" i="19"/>
  <c r="E34" i="26"/>
  <c r="E35" i="26"/>
  <c r="E37" i="26"/>
  <c r="C34" i="26"/>
  <c r="C35" i="26"/>
  <c r="C37" i="26"/>
  <c r="C42" i="1"/>
  <c r="C43" i="19"/>
  <c r="B43" i="19"/>
  <c r="L102" i="11"/>
  <c r="K102" i="11"/>
  <c r="J102" i="11"/>
  <c r="L101" i="11"/>
  <c r="K101" i="11"/>
  <c r="J101" i="11"/>
  <c r="L100" i="11"/>
  <c r="K100" i="11"/>
  <c r="J100" i="11"/>
  <c r="L99" i="11"/>
  <c r="K99" i="11"/>
  <c r="J99" i="11"/>
  <c r="L98" i="11"/>
  <c r="K98" i="11"/>
  <c r="J98" i="11"/>
  <c r="L97" i="11"/>
  <c r="K97" i="11"/>
  <c r="J97" i="11"/>
  <c r="L96" i="11"/>
  <c r="K96" i="11"/>
  <c r="J96" i="11"/>
  <c r="L95" i="11"/>
  <c r="K95" i="11"/>
  <c r="J95" i="11"/>
  <c r="L94" i="11"/>
  <c r="K94" i="11"/>
  <c r="J94" i="11"/>
  <c r="L93" i="11"/>
  <c r="K93" i="11"/>
  <c r="J93" i="11"/>
  <c r="L92" i="11"/>
  <c r="K92" i="11"/>
  <c r="J92" i="11"/>
  <c r="L91" i="11"/>
  <c r="K91" i="11"/>
  <c r="J91" i="11"/>
  <c r="L90" i="11"/>
  <c r="K90" i="11"/>
  <c r="J90" i="11"/>
  <c r="L89" i="11"/>
  <c r="K89" i="11"/>
  <c r="J89" i="11"/>
  <c r="L88" i="11"/>
  <c r="K88" i="11"/>
  <c r="J88" i="11"/>
  <c r="L87" i="11"/>
  <c r="K87" i="11"/>
  <c r="J87" i="11"/>
  <c r="L86" i="11"/>
  <c r="K86" i="11"/>
  <c r="J86" i="11"/>
  <c r="L85" i="11"/>
  <c r="K85" i="11"/>
  <c r="J85" i="11"/>
  <c r="L84" i="11"/>
  <c r="K84" i="11"/>
  <c r="J84" i="11"/>
  <c r="L83" i="11"/>
  <c r="K83" i="11"/>
  <c r="J83" i="11"/>
  <c r="L82" i="11"/>
  <c r="K82" i="11"/>
  <c r="J82" i="11"/>
  <c r="L81" i="11"/>
  <c r="K81" i="11"/>
  <c r="J81" i="11"/>
  <c r="L80" i="11"/>
  <c r="K80" i="11"/>
  <c r="J80" i="11"/>
  <c r="L79" i="11"/>
  <c r="K79" i="11"/>
  <c r="J79" i="11"/>
  <c r="L78" i="11"/>
  <c r="K78" i="11"/>
  <c r="J78" i="11"/>
  <c r="L77" i="11"/>
  <c r="K77" i="11"/>
  <c r="J77" i="11"/>
  <c r="L76" i="11"/>
  <c r="K76" i="11"/>
  <c r="J76" i="11"/>
  <c r="L75" i="11"/>
  <c r="K75" i="11"/>
  <c r="J75" i="11"/>
  <c r="L74" i="11"/>
  <c r="K74" i="11"/>
  <c r="J74" i="11"/>
  <c r="L73" i="11"/>
  <c r="K73" i="11"/>
  <c r="J73" i="11"/>
  <c r="L72" i="11"/>
  <c r="K72" i="11"/>
  <c r="J72" i="11"/>
  <c r="L71" i="11"/>
  <c r="K71" i="11"/>
  <c r="J71" i="11"/>
  <c r="L70" i="11"/>
  <c r="K70" i="11"/>
  <c r="J70" i="11"/>
  <c r="L69" i="11"/>
  <c r="K69" i="11"/>
  <c r="J69" i="11"/>
  <c r="L68" i="11"/>
  <c r="K68" i="11"/>
  <c r="J68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B112" i="11"/>
  <c r="B107" i="11"/>
  <c r="E107" i="11" s="1"/>
  <c r="B106" i="11"/>
  <c r="B111" i="11"/>
  <c r="B11" i="17"/>
  <c r="B43" i="17" s="1"/>
  <c r="C30" i="1"/>
  <c r="D30" i="1" s="1"/>
  <c r="B108" i="11"/>
  <c r="E108" i="11" s="1"/>
  <c r="B109" i="11"/>
  <c r="E109" i="11" s="1"/>
  <c r="F109" i="11"/>
  <c r="D109" i="11"/>
  <c r="G109" i="11"/>
  <c r="G108" i="11"/>
  <c r="G107" i="11"/>
  <c r="A106" i="11"/>
  <c r="A107" i="11"/>
  <c r="A108" i="11"/>
  <c r="A109" i="11"/>
  <c r="A111" i="11"/>
  <c r="A112" i="11"/>
  <c r="I2" i="17"/>
  <c r="A41" i="26"/>
  <c r="H45" i="17"/>
  <c r="D45" i="17"/>
  <c r="B18" i="17"/>
  <c r="B23" i="17"/>
  <c r="B28" i="17"/>
  <c r="B36" i="17"/>
  <c r="B41" i="17"/>
  <c r="G1" i="11"/>
  <c r="G16" i="11" s="1"/>
  <c r="I1" i="14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H31" i="26" l="1"/>
  <c r="H44" i="26" s="1"/>
  <c r="H45" i="26" s="1"/>
  <c r="H54" i="26" s="1"/>
  <c r="I44" i="26"/>
  <c r="I45" i="26" s="1"/>
  <c r="I54" i="26" s="1"/>
  <c r="I51" i="26" s="1"/>
  <c r="I39" i="26"/>
  <c r="J31" i="26"/>
  <c r="J44" i="26" s="1"/>
  <c r="J45" i="26" s="1"/>
  <c r="J54" i="26" s="1"/>
  <c r="J51" i="26" s="1"/>
  <c r="Y9" i="19"/>
  <c r="AA9" i="19"/>
  <c r="Z9" i="19"/>
  <c r="AA30" i="19"/>
  <c r="Q6" i="19"/>
  <c r="Q10" i="19"/>
  <c r="Q14" i="19"/>
  <c r="Q18" i="19"/>
  <c r="Q22" i="19"/>
  <c r="Q26" i="19"/>
  <c r="D108" i="11"/>
  <c r="D24" i="27"/>
  <c r="O7" i="14" s="1"/>
  <c r="N7" i="14"/>
  <c r="Q52" i="19"/>
  <c r="Q48" i="19"/>
  <c r="Q44" i="19"/>
  <c r="Q40" i="19"/>
  <c r="Q36" i="19"/>
  <c r="Q32" i="19"/>
  <c r="Q28" i="19"/>
  <c r="Q23" i="19"/>
  <c r="Q17" i="19"/>
  <c r="Q12" i="19"/>
  <c r="Q7" i="19"/>
  <c r="Z6" i="19"/>
  <c r="S11" i="19"/>
  <c r="AA10" i="19"/>
  <c r="C27" i="26"/>
  <c r="J24" i="11"/>
  <c r="C52" i="18"/>
  <c r="B12" i="18"/>
  <c r="D22" i="27"/>
  <c r="K7" i="14" s="1"/>
  <c r="B7" i="14"/>
  <c r="L7" i="14"/>
  <c r="Q55" i="19"/>
  <c r="Q51" i="19"/>
  <c r="Q47" i="19"/>
  <c r="Q43" i="19"/>
  <c r="Q39" i="19"/>
  <c r="Q35" i="19"/>
  <c r="Q31" i="19"/>
  <c r="Q27" i="19"/>
  <c r="Q21" i="19"/>
  <c r="Q16" i="19"/>
  <c r="Q11" i="19"/>
  <c r="Z31" i="19"/>
  <c r="AA31" i="19"/>
  <c r="S32" i="19"/>
  <c r="K109" i="11"/>
  <c r="C24" i="27"/>
  <c r="G7" i="14" s="1"/>
  <c r="A1" i="11"/>
  <c r="A16" i="11" s="1"/>
  <c r="F108" i="11"/>
  <c r="F106" i="11"/>
  <c r="D106" i="11"/>
  <c r="A39" i="18"/>
  <c r="C23" i="27"/>
  <c r="E7" i="14" s="1"/>
  <c r="Q54" i="19"/>
  <c r="Q50" i="19"/>
  <c r="Q46" i="19"/>
  <c r="Q42" i="19"/>
  <c r="Q38" i="19"/>
  <c r="Q34" i="19"/>
  <c r="Q30" i="19"/>
  <c r="Q25" i="19"/>
  <c r="Q20" i="19"/>
  <c r="Q15" i="19"/>
  <c r="Q9" i="19"/>
  <c r="Y6" i="19"/>
  <c r="Z8" i="19"/>
  <c r="J23" i="26"/>
  <c r="H27" i="26"/>
  <c r="L107" i="11"/>
  <c r="L10" i="11"/>
  <c r="L111" i="11" s="1"/>
  <c r="V11" i="19"/>
  <c r="V12" i="19" s="1"/>
  <c r="V13" i="19" s="1"/>
  <c r="V14" i="19" s="1"/>
  <c r="V15" i="19" s="1"/>
  <c r="V16" i="19" s="1"/>
  <c r="V17" i="19" s="1"/>
  <c r="V18" i="19" s="1"/>
  <c r="V19" i="19" s="1"/>
  <c r="V20" i="19" s="1"/>
  <c r="V21" i="19" s="1"/>
  <c r="V22" i="19" s="1"/>
  <c r="V23" i="19" s="1"/>
  <c r="V24" i="19" s="1"/>
  <c r="V25" i="19" s="1"/>
  <c r="V26" i="19" s="1"/>
  <c r="V27" i="19" s="1"/>
  <c r="V28" i="19" s="1"/>
  <c r="V29" i="19" s="1"/>
  <c r="L26" i="11"/>
  <c r="L23" i="11"/>
  <c r="L24" i="11"/>
  <c r="J62" i="11"/>
  <c r="K10" i="11"/>
  <c r="K111" i="11" s="1"/>
  <c r="K106" i="11"/>
  <c r="J29" i="11"/>
  <c r="J109" i="11"/>
  <c r="J26" i="11" s="1"/>
  <c r="J10" i="11"/>
  <c r="J111" i="11" s="1"/>
  <c r="J106" i="11"/>
  <c r="J11" i="11"/>
  <c r="J112" i="11" s="1"/>
  <c r="J53" i="11" s="1"/>
  <c r="K108" i="11"/>
  <c r="V8" i="19"/>
  <c r="V7" i="19"/>
  <c r="AA7" i="19" s="1"/>
  <c r="AA6" i="19"/>
  <c r="I47" i="26"/>
  <c r="I48" i="26" s="1"/>
  <c r="H32" i="26"/>
  <c r="H47" i="26" s="1"/>
  <c r="H48" i="26" s="1"/>
  <c r="J32" i="26"/>
  <c r="J47" i="26" s="1"/>
  <c r="J48" i="26" s="1"/>
  <c r="J27" i="26"/>
  <c r="L25" i="11"/>
  <c r="F107" i="11"/>
  <c r="E47" i="26"/>
  <c r="W8" i="19"/>
  <c r="J35" i="26"/>
  <c r="H35" i="26"/>
  <c r="D10" i="11"/>
  <c r="D111" i="11" s="1"/>
  <c r="D107" i="11"/>
  <c r="F10" i="11"/>
  <c r="F111" i="11" s="1"/>
  <c r="H51" i="26"/>
  <c r="D57" i="18"/>
  <c r="P3" i="19"/>
  <c r="D8" i="14" s="1"/>
  <c r="O3" i="19"/>
  <c r="B8" i="14" s="1"/>
  <c r="J34" i="26"/>
  <c r="H34" i="26"/>
  <c r="E106" i="11"/>
  <c r="E10" i="11"/>
  <c r="E111" i="11" s="1"/>
  <c r="E11" i="11"/>
  <c r="E112" i="11" s="1"/>
  <c r="E49" i="11" s="1"/>
  <c r="E31" i="26"/>
  <c r="E44" i="26" s="1"/>
  <c r="E45" i="26" s="1"/>
  <c r="E54" i="26" s="1"/>
  <c r="E51" i="26" s="1"/>
  <c r="D39" i="26"/>
  <c r="D44" i="26"/>
  <c r="D45" i="26" s="1"/>
  <c r="D54" i="26" s="1"/>
  <c r="D51" i="26" s="1"/>
  <c r="C31" i="26"/>
  <c r="C44" i="26" s="1"/>
  <c r="C45" i="26" s="1"/>
  <c r="C54" i="26" s="1"/>
  <c r="C51" i="26" s="1"/>
  <c r="F43" i="17"/>
  <c r="J18" i="17"/>
  <c r="J43" i="17" s="1"/>
  <c r="E52" i="18"/>
  <c r="B57" i="18"/>
  <c r="F57" i="18" s="1"/>
  <c r="G57" i="18" s="1"/>
  <c r="M6" i="14" s="1"/>
  <c r="C33" i="26"/>
  <c r="D37" i="18"/>
  <c r="D52" i="18" s="1"/>
  <c r="B37" i="18"/>
  <c r="B52" i="18" s="1"/>
  <c r="G35" i="18"/>
  <c r="E42" i="18"/>
  <c r="E57" i="18" s="1"/>
  <c r="C32" i="26"/>
  <c r="B20" i="29"/>
  <c r="B21" i="29"/>
  <c r="D47" i="26"/>
  <c r="D48" i="26" s="1"/>
  <c r="F18" i="17"/>
  <c r="K20" i="29"/>
  <c r="K21" i="29"/>
  <c r="I43" i="17" l="1"/>
  <c r="J45" i="17"/>
  <c r="M14" i="14" s="1"/>
  <c r="K43" i="17"/>
  <c r="L14" i="14"/>
  <c r="F18" i="11"/>
  <c r="F22" i="11"/>
  <c r="F19" i="11"/>
  <c r="F20" i="11"/>
  <c r="F21" i="11"/>
  <c r="J45" i="11"/>
  <c r="E55" i="11"/>
  <c r="E58" i="11"/>
  <c r="K29" i="11"/>
  <c r="AA11" i="19"/>
  <c r="S12" i="19"/>
  <c r="Z11" i="19"/>
  <c r="Y11" i="19"/>
  <c r="C47" i="26"/>
  <c r="C48" i="26" s="1"/>
  <c r="F52" i="18"/>
  <c r="E19" i="11"/>
  <c r="E20" i="11"/>
  <c r="E18" i="11"/>
  <c r="E22" i="11"/>
  <c r="E21" i="11"/>
  <c r="F11" i="11"/>
  <c r="F112" i="11" s="1"/>
  <c r="F48" i="11" s="1"/>
  <c r="Y8" i="19"/>
  <c r="AA8" i="19"/>
  <c r="J41" i="11"/>
  <c r="J38" i="11"/>
  <c r="J42" i="11"/>
  <c r="J39" i="11"/>
  <c r="J40" i="11"/>
  <c r="J37" i="11"/>
  <c r="K18" i="11"/>
  <c r="K22" i="11"/>
  <c r="K19" i="11"/>
  <c r="K20" i="11"/>
  <c r="K21" i="11"/>
  <c r="J58" i="11"/>
  <c r="J35" i="11"/>
  <c r="J57" i="11"/>
  <c r="J34" i="11"/>
  <c r="L11" i="11"/>
  <c r="L112" i="11" s="1"/>
  <c r="L41" i="11"/>
  <c r="E67" i="11"/>
  <c r="E64" i="11"/>
  <c r="E48" i="11"/>
  <c r="E54" i="11"/>
  <c r="E57" i="11"/>
  <c r="AA32" i="19"/>
  <c r="Y32" i="19"/>
  <c r="S33" i="19"/>
  <c r="Z32" i="19"/>
  <c r="J36" i="11"/>
  <c r="J25" i="11"/>
  <c r="K31" i="11"/>
  <c r="I41" i="26"/>
  <c r="M5" i="14" s="1"/>
  <c r="J39" i="26"/>
  <c r="H39" i="26"/>
  <c r="L5" i="14"/>
  <c r="K40" i="11"/>
  <c r="J61" i="11"/>
  <c r="J33" i="11"/>
  <c r="E59" i="11"/>
  <c r="E61" i="11"/>
  <c r="Y7" i="19"/>
  <c r="Z7" i="19"/>
  <c r="D41" i="26"/>
  <c r="E5" i="14" s="1"/>
  <c r="C39" i="26"/>
  <c r="E39" i="26"/>
  <c r="D5" i="14"/>
  <c r="E26" i="11"/>
  <c r="E29" i="11"/>
  <c r="E33" i="11"/>
  <c r="E37" i="11"/>
  <c r="E41" i="11"/>
  <c r="E45" i="11"/>
  <c r="E23" i="11"/>
  <c r="E27" i="11"/>
  <c r="E30" i="11"/>
  <c r="E34" i="11"/>
  <c r="E38" i="11"/>
  <c r="E42" i="11"/>
  <c r="E46" i="11"/>
  <c r="E25" i="11"/>
  <c r="E28" i="11"/>
  <c r="E32" i="11"/>
  <c r="E36" i="11"/>
  <c r="E40" i="11"/>
  <c r="E44" i="11"/>
  <c r="E43" i="11"/>
  <c r="E24" i="11"/>
  <c r="E31" i="11"/>
  <c r="E47" i="11"/>
  <c r="E35" i="11"/>
  <c r="E39" i="11"/>
  <c r="D20" i="11"/>
  <c r="D21" i="11"/>
  <c r="D19" i="11"/>
  <c r="D18" i="11"/>
  <c r="D22" i="11"/>
  <c r="J28" i="11"/>
  <c r="J20" i="11"/>
  <c r="J21" i="11"/>
  <c r="J18" i="11"/>
  <c r="J22" i="11"/>
  <c r="J19" i="11"/>
  <c r="J44" i="11"/>
  <c r="K11" i="11"/>
  <c r="K112" i="11" s="1"/>
  <c r="J54" i="11"/>
  <c r="J31" i="11"/>
  <c r="J30" i="11"/>
  <c r="L31" i="11"/>
  <c r="L35" i="11"/>
  <c r="L46" i="11"/>
  <c r="L50" i="11"/>
  <c r="L54" i="11"/>
  <c r="L58" i="11"/>
  <c r="L62" i="11"/>
  <c r="L66" i="11"/>
  <c r="L28" i="11"/>
  <c r="L32" i="11"/>
  <c r="L36" i="11"/>
  <c r="L43" i="11"/>
  <c r="L47" i="11"/>
  <c r="L51" i="11"/>
  <c r="L55" i="11"/>
  <c r="L59" i="11"/>
  <c r="L63" i="11"/>
  <c r="L67" i="11"/>
  <c r="L29" i="11"/>
  <c r="L33" i="11"/>
  <c r="L37" i="11"/>
  <c r="L44" i="11"/>
  <c r="L48" i="11"/>
  <c r="L52" i="11"/>
  <c r="L56" i="11"/>
  <c r="L60" i="11"/>
  <c r="L64" i="11"/>
  <c r="L53" i="11"/>
  <c r="L57" i="11"/>
  <c r="L30" i="11"/>
  <c r="L45" i="11"/>
  <c r="L61" i="11"/>
  <c r="L34" i="11"/>
  <c r="L49" i="11"/>
  <c r="L65" i="11"/>
  <c r="L40" i="11"/>
  <c r="E51" i="11"/>
  <c r="E60" i="11"/>
  <c r="E66" i="11"/>
  <c r="E50" i="11"/>
  <c r="E53" i="11"/>
  <c r="D11" i="11"/>
  <c r="D112" i="11" s="1"/>
  <c r="D54" i="11" s="1"/>
  <c r="J23" i="11"/>
  <c r="K34" i="11"/>
  <c r="K37" i="11"/>
  <c r="Q2" i="19"/>
  <c r="F58" i="18"/>
  <c r="F56" i="18"/>
  <c r="L6" i="14"/>
  <c r="J43" i="11"/>
  <c r="J51" i="11"/>
  <c r="J59" i="11"/>
  <c r="J67" i="11"/>
  <c r="J60" i="11"/>
  <c r="J47" i="11"/>
  <c r="J55" i="11"/>
  <c r="J63" i="11"/>
  <c r="J64" i="11"/>
  <c r="J56" i="11"/>
  <c r="J48" i="11"/>
  <c r="J46" i="11"/>
  <c r="L21" i="11"/>
  <c r="L18" i="11"/>
  <c r="L20" i="11"/>
  <c r="L22" i="11"/>
  <c r="L19" i="11"/>
  <c r="F25" i="11"/>
  <c r="F36" i="11"/>
  <c r="F26" i="11"/>
  <c r="F29" i="11"/>
  <c r="F45" i="11"/>
  <c r="F24" i="11"/>
  <c r="F39" i="11"/>
  <c r="F42" i="11"/>
  <c r="F23" i="11"/>
  <c r="F34" i="11"/>
  <c r="E52" i="11"/>
  <c r="J27" i="11"/>
  <c r="F45" i="17"/>
  <c r="E14" i="14" s="1"/>
  <c r="E43" i="17"/>
  <c r="G43" i="17"/>
  <c r="D14" i="14"/>
  <c r="E48" i="26"/>
  <c r="K23" i="11"/>
  <c r="K24" i="11"/>
  <c r="K25" i="11"/>
  <c r="K27" i="11"/>
  <c r="K26" i="11"/>
  <c r="J52" i="11"/>
  <c r="J66" i="11"/>
  <c r="J50" i="11"/>
  <c r="J65" i="11"/>
  <c r="J49" i="11"/>
  <c r="K35" i="11"/>
  <c r="L39" i="11"/>
  <c r="D23" i="11"/>
  <c r="D30" i="11"/>
  <c r="D46" i="11"/>
  <c r="D24" i="11"/>
  <c r="D39" i="11"/>
  <c r="D26" i="11"/>
  <c r="D29" i="11"/>
  <c r="D45" i="11"/>
  <c r="D44" i="11"/>
  <c r="D25" i="11"/>
  <c r="E63" i="11"/>
  <c r="E56" i="11"/>
  <c r="E62" i="11"/>
  <c r="E65" i="11"/>
  <c r="J32" i="11"/>
  <c r="K30" i="11"/>
  <c r="K33" i="11"/>
  <c r="F27" i="11" l="1"/>
  <c r="K50" i="11"/>
  <c r="K66" i="11"/>
  <c r="K43" i="11"/>
  <c r="K59" i="11"/>
  <c r="K52" i="11"/>
  <c r="K53" i="11"/>
  <c r="K54" i="11"/>
  <c r="K62" i="11"/>
  <c r="K48" i="11"/>
  <c r="K47" i="11"/>
  <c r="K63" i="11"/>
  <c r="K56" i="11"/>
  <c r="K57" i="11"/>
  <c r="K58" i="11"/>
  <c r="K55" i="11"/>
  <c r="K49" i="11"/>
  <c r="K46" i="11"/>
  <c r="K51" i="11"/>
  <c r="K67" i="11"/>
  <c r="K44" i="11"/>
  <c r="K60" i="11"/>
  <c r="K45" i="11"/>
  <c r="K61" i="11"/>
  <c r="K64" i="11"/>
  <c r="K65" i="11"/>
  <c r="J13" i="11"/>
  <c r="C41" i="26"/>
  <c r="C5" i="14" s="1"/>
  <c r="B5" i="14"/>
  <c r="K42" i="11"/>
  <c r="K39" i="11"/>
  <c r="D48" i="11"/>
  <c r="D52" i="11"/>
  <c r="D53" i="11"/>
  <c r="D59" i="11"/>
  <c r="D62" i="11"/>
  <c r="F66" i="11"/>
  <c r="F67" i="11"/>
  <c r="F51" i="11"/>
  <c r="F53" i="11"/>
  <c r="F56" i="11"/>
  <c r="K36" i="11"/>
  <c r="I45" i="17"/>
  <c r="K14" i="14" s="1"/>
  <c r="J14" i="14"/>
  <c r="G8" i="14"/>
  <c r="Q3" i="19"/>
  <c r="F8" i="14" s="1"/>
  <c r="J41" i="26"/>
  <c r="O5" i="14" s="1"/>
  <c r="N5" i="14"/>
  <c r="D57" i="11"/>
  <c r="D66" i="11"/>
  <c r="D50" i="11"/>
  <c r="F55" i="11"/>
  <c r="F60" i="11"/>
  <c r="D28" i="11"/>
  <c r="D35" i="11"/>
  <c r="F35" i="11"/>
  <c r="D32" i="11"/>
  <c r="D37" i="11"/>
  <c r="D47" i="11"/>
  <c r="D31" i="11"/>
  <c r="D38" i="11"/>
  <c r="G45" i="17"/>
  <c r="G14" i="14" s="1"/>
  <c r="F14" i="14"/>
  <c r="F46" i="11"/>
  <c r="F47" i="11"/>
  <c r="F31" i="11"/>
  <c r="F37" i="11"/>
  <c r="F44" i="11"/>
  <c r="F28" i="11"/>
  <c r="F13" i="11" s="1"/>
  <c r="J6" i="14"/>
  <c r="G56" i="18"/>
  <c r="K6" i="14" s="1"/>
  <c r="E9" i="14"/>
  <c r="K38" i="11"/>
  <c r="L27" i="11"/>
  <c r="L42" i="11"/>
  <c r="D64" i="11"/>
  <c r="D65" i="11"/>
  <c r="D49" i="11"/>
  <c r="D55" i="11"/>
  <c r="D58" i="11"/>
  <c r="F51" i="18"/>
  <c r="F53" i="18"/>
  <c r="D6" i="14"/>
  <c r="G52" i="18"/>
  <c r="E6" i="14" s="1"/>
  <c r="S13" i="19"/>
  <c r="Y12" i="19"/>
  <c r="AA12" i="19"/>
  <c r="Z12" i="19"/>
  <c r="F50" i="11"/>
  <c r="F63" i="11"/>
  <c r="F65" i="11"/>
  <c r="F49" i="11"/>
  <c r="F52" i="11"/>
  <c r="K28" i="11"/>
  <c r="E41" i="26"/>
  <c r="G5" i="14" s="1"/>
  <c r="F5" i="14"/>
  <c r="S34" i="19"/>
  <c r="Y33" i="19"/>
  <c r="Z33" i="19"/>
  <c r="AA33" i="19"/>
  <c r="D56" i="11"/>
  <c r="D63" i="11"/>
  <c r="F54" i="11"/>
  <c r="F58" i="11"/>
  <c r="F57" i="11"/>
  <c r="D41" i="11"/>
  <c r="D42" i="11"/>
  <c r="D27" i="11"/>
  <c r="D13" i="11" s="1"/>
  <c r="F41" i="11"/>
  <c r="F32" i="11"/>
  <c r="D40" i="11"/>
  <c r="D36" i="11"/>
  <c r="D33" i="11"/>
  <c r="D43" i="11"/>
  <c r="D34" i="11"/>
  <c r="E45" i="17"/>
  <c r="B14" i="14"/>
  <c r="F38" i="11"/>
  <c r="F30" i="11"/>
  <c r="F43" i="11"/>
  <c r="F33" i="11"/>
  <c r="F40" i="11"/>
  <c r="N6" i="14"/>
  <c r="G58" i="18"/>
  <c r="O6" i="14" s="1"/>
  <c r="D9" i="14"/>
  <c r="K41" i="11"/>
  <c r="H41" i="26"/>
  <c r="K5" i="14" s="1"/>
  <c r="J5" i="14"/>
  <c r="K32" i="11"/>
  <c r="K13" i="11" s="1"/>
  <c r="D60" i="11"/>
  <c r="D61" i="11"/>
  <c r="D67" i="11"/>
  <c r="D51" i="11"/>
  <c r="E13" i="11"/>
  <c r="F62" i="11"/>
  <c r="F59" i="11"/>
  <c r="F61" i="11"/>
  <c r="F64" i="11"/>
  <c r="K45" i="17"/>
  <c r="O14" i="14" s="1"/>
  <c r="N14" i="14"/>
  <c r="L38" i="11"/>
  <c r="L13" i="11" s="1"/>
  <c r="C13" i="14" l="1"/>
  <c r="D14" i="11"/>
  <c r="B13" i="14" s="1"/>
  <c r="B15" i="14" s="1"/>
  <c r="O13" i="14"/>
  <c r="O15" i="14" s="1"/>
  <c r="L14" i="11"/>
  <c r="N13" i="14" s="1"/>
  <c r="N15" i="14" s="1"/>
  <c r="M13" i="14"/>
  <c r="M15" i="14" s="1"/>
  <c r="K14" i="11"/>
  <c r="L13" i="14" s="1"/>
  <c r="L15" i="14" s="1"/>
  <c r="G13" i="14"/>
  <c r="G15" i="14" s="1"/>
  <c r="F14" i="11"/>
  <c r="F13" i="14" s="1"/>
  <c r="F15" i="14" s="1"/>
  <c r="F6" i="14"/>
  <c r="G53" i="18"/>
  <c r="G6" i="14" s="1"/>
  <c r="B9" i="14"/>
  <c r="C22" i="14"/>
  <c r="E14" i="11"/>
  <c r="D13" i="14" s="1"/>
  <c r="D15" i="14" s="1"/>
  <c r="E13" i="14"/>
  <c r="E15" i="14" s="1"/>
  <c r="C21" i="14" s="1"/>
  <c r="E49" i="17"/>
  <c r="C14" i="14"/>
  <c r="AA34" i="19"/>
  <c r="Z34" i="19"/>
  <c r="S35" i="19"/>
  <c r="Y34" i="19"/>
  <c r="AA13" i="19"/>
  <c r="S14" i="19"/>
  <c r="Y13" i="19"/>
  <c r="Z13" i="19"/>
  <c r="B6" i="14"/>
  <c r="G51" i="18"/>
  <c r="C6" i="14" s="1"/>
  <c r="C9" i="14"/>
  <c r="G9" i="14"/>
  <c r="F9" i="14"/>
  <c r="K13" i="14"/>
  <c r="K15" i="14" s="1"/>
  <c r="J14" i="11"/>
  <c r="J13" i="14" s="1"/>
  <c r="J15" i="14" s="1"/>
  <c r="B21" i="14" l="1"/>
  <c r="B22" i="14"/>
  <c r="Z35" i="19"/>
  <c r="AA35" i="19"/>
  <c r="S36" i="19"/>
  <c r="Y35" i="19"/>
  <c r="AA14" i="19"/>
  <c r="S15" i="19"/>
  <c r="Z14" i="19"/>
  <c r="Y14" i="19"/>
  <c r="D22" i="14"/>
  <c r="D21" i="14"/>
  <c r="C15" i="14"/>
  <c r="C20" i="14" s="1"/>
  <c r="AA36" i="19" l="1"/>
  <c r="Y36" i="19"/>
  <c r="S37" i="19"/>
  <c r="Z36" i="19"/>
  <c r="B20" i="14"/>
  <c r="D20" i="14"/>
  <c r="AA15" i="19"/>
  <c r="S16" i="19"/>
  <c r="Z15" i="19"/>
  <c r="Y15" i="19"/>
  <c r="S38" i="19" l="1"/>
  <c r="Y37" i="19"/>
  <c r="Z37" i="19"/>
  <c r="AA37" i="19"/>
  <c r="S17" i="19"/>
  <c r="Y16" i="19"/>
  <c r="Z16" i="19"/>
  <c r="AA16" i="19"/>
  <c r="Y17" i="19" l="1"/>
  <c r="AA17" i="19"/>
  <c r="Z17" i="19"/>
  <c r="S18" i="19"/>
  <c r="AA38" i="19"/>
  <c r="Y38" i="19"/>
  <c r="S39" i="19"/>
  <c r="Z38" i="19"/>
  <c r="AA18" i="19" l="1"/>
  <c r="S19" i="19"/>
  <c r="Z18" i="19"/>
  <c r="Y18" i="19"/>
  <c r="Z39" i="19"/>
  <c r="AA39" i="19"/>
  <c r="S40" i="19"/>
  <c r="Y39" i="19"/>
  <c r="AA40" i="19" l="1"/>
  <c r="S41" i="19"/>
  <c r="Z40" i="19"/>
  <c r="Y40" i="19"/>
  <c r="AA19" i="19"/>
  <c r="S20" i="19"/>
  <c r="Z19" i="19"/>
  <c r="Y19" i="19"/>
  <c r="S21" i="19" l="1"/>
  <c r="Y20" i="19"/>
  <c r="AA20" i="19"/>
  <c r="Z20" i="19"/>
  <c r="S42" i="19"/>
  <c r="Y41" i="19"/>
  <c r="AA41" i="19"/>
  <c r="Z41" i="19"/>
  <c r="AA42" i="19" l="1"/>
  <c r="Z42" i="19"/>
  <c r="S43" i="19"/>
  <c r="Y42" i="19"/>
  <c r="AA21" i="19"/>
  <c r="Y21" i="19"/>
  <c r="S22" i="19"/>
  <c r="Z21" i="19"/>
  <c r="AA22" i="19" l="1"/>
  <c r="Y22" i="19"/>
  <c r="S23" i="19"/>
  <c r="Z22" i="19"/>
  <c r="Z43" i="19"/>
  <c r="AA43" i="19"/>
  <c r="S44" i="19"/>
  <c r="Y43" i="19"/>
  <c r="AA44" i="19" l="1"/>
  <c r="S45" i="19"/>
  <c r="Z44" i="19"/>
  <c r="Y44" i="19"/>
  <c r="S24" i="19"/>
  <c r="AA23" i="19"/>
  <c r="Z23" i="19"/>
  <c r="Y23" i="19"/>
  <c r="S46" i="19" l="1"/>
  <c r="Y45" i="19"/>
  <c r="Z45" i="19"/>
  <c r="AA45" i="19"/>
  <c r="Y24" i="19"/>
  <c r="AA24" i="19"/>
  <c r="Z24" i="19"/>
  <c r="S25" i="19"/>
  <c r="AA46" i="19" l="1"/>
  <c r="S47" i="19"/>
  <c r="Z46" i="19"/>
  <c r="Y46" i="19"/>
  <c r="Y25" i="19"/>
  <c r="AA25" i="19"/>
  <c r="Z25" i="19"/>
  <c r="S26" i="19"/>
  <c r="Z47" i="19" l="1"/>
  <c r="AA47" i="19"/>
  <c r="S48" i="19"/>
  <c r="Y47" i="19"/>
  <c r="AA26" i="19"/>
  <c r="S27" i="19"/>
  <c r="Y26" i="19"/>
  <c r="Z26" i="19"/>
  <c r="S28" i="19" l="1"/>
  <c r="Z27" i="19"/>
  <c r="AA27" i="19"/>
  <c r="Y27" i="19"/>
  <c r="AA48" i="19"/>
  <c r="S49" i="19"/>
  <c r="Z48" i="19"/>
  <c r="Y48" i="19"/>
  <c r="S50" i="19" l="1"/>
  <c r="Y49" i="19"/>
  <c r="AA49" i="19"/>
  <c r="Z49" i="19"/>
  <c r="Y28" i="19"/>
  <c r="Z28" i="19"/>
  <c r="AA28" i="19"/>
  <c r="S29" i="19"/>
  <c r="AA50" i="19" l="1"/>
  <c r="Z50" i="19"/>
  <c r="Y50" i="19"/>
  <c r="S51" i="19"/>
  <c r="Y29" i="19"/>
  <c r="Z29" i="19"/>
  <c r="AA29" i="19"/>
  <c r="Z51" i="19" l="1"/>
  <c r="AA51" i="19"/>
  <c r="S52" i="19"/>
  <c r="Y51" i="19"/>
  <c r="AA52" i="19" l="1"/>
  <c r="S53" i="19"/>
  <c r="Z52" i="19"/>
  <c r="Y52" i="19"/>
  <c r="S54" i="19" l="1"/>
  <c r="Y53" i="19"/>
  <c r="Z53" i="19"/>
  <c r="AA53" i="19"/>
  <c r="AA54" i="19" l="1"/>
  <c r="Y54" i="19"/>
  <c r="S55" i="19"/>
  <c r="Z54" i="19"/>
  <c r="Z55" i="19" l="1"/>
  <c r="Z2" i="19" s="1"/>
  <c r="AA55" i="19"/>
  <c r="AA2" i="19" s="1"/>
  <c r="Y55" i="19"/>
  <c r="Y2" i="19" s="1"/>
  <c r="K8" i="14" l="1"/>
  <c r="K9" i="14" s="1"/>
  <c r="B53" i="19"/>
  <c r="Y3" i="19"/>
  <c r="O8" i="14"/>
  <c r="O9" i="14" s="1"/>
  <c r="D53" i="19"/>
  <c r="AA3" i="19"/>
  <c r="C53" i="19"/>
  <c r="M8" i="14"/>
  <c r="M9" i="14" s="1"/>
  <c r="Z3" i="19"/>
  <c r="J8" i="14" l="1"/>
  <c r="J9" i="14" s="1"/>
  <c r="B54" i="19"/>
  <c r="L20" i="14"/>
  <c r="L22" i="14"/>
  <c r="L21" i="14"/>
  <c r="N8" i="14"/>
  <c r="N9" i="14" s="1"/>
  <c r="D54" i="19"/>
  <c r="K20" i="14"/>
  <c r="K22" i="14"/>
  <c r="K21" i="14"/>
  <c r="L8" i="14"/>
  <c r="L9" i="14" s="1"/>
  <c r="C54" i="19"/>
  <c r="J20" i="14"/>
  <c r="J22" i="14"/>
  <c r="J21" i="14"/>
</calcChain>
</file>

<file path=xl/sharedStrings.xml><?xml version="1.0" encoding="utf-8"?>
<sst xmlns="http://schemas.openxmlformats.org/spreadsheetml/2006/main" count="726" uniqueCount="279">
  <si>
    <t>Unit</t>
  </si>
  <si>
    <t>CY</t>
  </si>
  <si>
    <t>Acre</t>
  </si>
  <si>
    <t>L.F.</t>
  </si>
  <si>
    <t>Mid</t>
  </si>
  <si>
    <t>High</t>
  </si>
  <si>
    <t>Low</t>
  </si>
  <si>
    <t>Notes</t>
  </si>
  <si>
    <t>raise 1 ft</t>
  </si>
  <si>
    <t>raise 2ft</t>
  </si>
  <si>
    <t>raise 3ft</t>
  </si>
  <si>
    <t>Habitat restoration</t>
  </si>
  <si>
    <t>Fill requirements</t>
  </si>
  <si>
    <t>Benefits</t>
  </si>
  <si>
    <t>Annual</t>
  </si>
  <si>
    <t>NPV</t>
  </si>
  <si>
    <t>Environmental Quality</t>
  </si>
  <si>
    <t>Total Benefits</t>
  </si>
  <si>
    <t>Costs</t>
  </si>
  <si>
    <t>Capital</t>
  </si>
  <si>
    <t>O&amp;M</t>
  </si>
  <si>
    <t>Total Costs</t>
  </si>
  <si>
    <t>Benefit-Cost Ratio Comparison</t>
  </si>
  <si>
    <t>Benefit</t>
  </si>
  <si>
    <t>Cost</t>
  </si>
  <si>
    <t>Personnel</t>
  </si>
  <si>
    <t>Staff Time</t>
  </si>
  <si>
    <t>Professional Services</t>
  </si>
  <si>
    <t>Total - Personnel</t>
  </si>
  <si>
    <t>Dredging Projects</t>
  </si>
  <si>
    <t>Planning and Studies</t>
  </si>
  <si>
    <t>Permitting</t>
  </si>
  <si>
    <t>Dredging Activities</t>
  </si>
  <si>
    <t>Mitigation</t>
  </si>
  <si>
    <t>Total - Dredging</t>
  </si>
  <si>
    <t>Facility Operations</t>
  </si>
  <si>
    <t>Pump Station Operations</t>
  </si>
  <si>
    <t>Total - Facility Operations</t>
  </si>
  <si>
    <t>Maintenance &amp; Repair - Equipment</t>
  </si>
  <si>
    <t>Pump Maintenance</t>
  </si>
  <si>
    <t>Miscellaneous Equip. Repair</t>
  </si>
  <si>
    <t>Total Maint. &amp; Repair-Equip.</t>
  </si>
  <si>
    <t>Maintenance &amp; Repair - Land &amp; Buildings</t>
  </si>
  <si>
    <t>Pump Station Maintenance  Repair</t>
  </si>
  <si>
    <t>Tree Service &amp; Fence Repair</t>
  </si>
  <si>
    <t>Vegetation Maintenance &amp; Monitoring</t>
  </si>
  <si>
    <t>Miscellaneous Land &amp; Bldg Repair</t>
  </si>
  <si>
    <t>Total Maint. &amp; Repair-Land &amp; Bldgs.</t>
  </si>
  <si>
    <t>Other O&amp;M</t>
  </si>
  <si>
    <t>Other Services &amp; Supplies</t>
  </si>
  <si>
    <t>Total - Other O&amp;M</t>
  </si>
  <si>
    <t>EAV</t>
  </si>
  <si>
    <t>Discount rate</t>
  </si>
  <si>
    <t>Justification</t>
  </si>
  <si>
    <t>Recreation Experience</t>
  </si>
  <si>
    <t>Availability of Opportunity</t>
  </si>
  <si>
    <t>Carrying Capacity</t>
  </si>
  <si>
    <t>Accessibility</t>
  </si>
  <si>
    <t>Total Points</t>
  </si>
  <si>
    <t>User Value/Day</t>
  </si>
  <si>
    <t>Source:</t>
  </si>
  <si>
    <t>Aesthetic/ amenity</t>
  </si>
  <si>
    <t>Water quality</t>
  </si>
  <si>
    <t>Flood risk reduction</t>
  </si>
  <si>
    <t>Option/bequest/ existence value</t>
  </si>
  <si>
    <t>Carbon sequestration</t>
  </si>
  <si>
    <t>Primary production/ nursery</t>
  </si>
  <si>
    <t># Value estimates</t>
  </si>
  <si>
    <t>StdDev</t>
  </si>
  <si>
    <t>-1 SD</t>
  </si>
  <si>
    <t>Mean</t>
  </si>
  <si>
    <t>+1 SD</t>
  </si>
  <si>
    <t xml:space="preserve">   Aesthetic/amenity</t>
  </si>
  <si>
    <t>Tidal Marsh</t>
  </si>
  <si>
    <t xml:space="preserve">   Water quality</t>
  </si>
  <si>
    <t xml:space="preserve">   Flood risk reduction</t>
  </si>
  <si>
    <t xml:space="preserve">   Option/bequest/existence value</t>
  </si>
  <si>
    <t xml:space="preserve">   Primary production/nursery</t>
  </si>
  <si>
    <t xml:space="preserve">   Carbon sequestration</t>
  </si>
  <si>
    <t>Year</t>
  </si>
  <si>
    <t>Planning timeframe</t>
  </si>
  <si>
    <t>Total Duration</t>
  </si>
  <si>
    <t>Start (Year)</t>
  </si>
  <si>
    <t>End (Year)</t>
  </si>
  <si>
    <t>years</t>
  </si>
  <si>
    <t>Calendar Year</t>
  </si>
  <si>
    <t>Project Year</t>
  </si>
  <si>
    <t>O&amp;M Assumptions</t>
  </si>
  <si>
    <t>Cubic Yards</t>
  </si>
  <si>
    <t>Frequency (every X years)</t>
  </si>
  <si>
    <t>Cost/CY</t>
  </si>
  <si>
    <t>Annual Maintenance</t>
  </si>
  <si>
    <t>Total length</t>
  </si>
  <si>
    <t>Land Cover Change (From Year 1 Conditions)</t>
  </si>
  <si>
    <t>Other</t>
  </si>
  <si>
    <t xml:space="preserve">Recreational </t>
  </si>
  <si>
    <t>Quality changes</t>
  </si>
  <si>
    <t>Trail (additional miles/annual users)</t>
  </si>
  <si>
    <t>Intended Outcomes</t>
  </si>
  <si>
    <t>Park (acres, additional users)</t>
  </si>
  <si>
    <t>Other Facility (additional users)</t>
  </si>
  <si>
    <t>Flood Protection (Net of gray project design)</t>
  </si>
  <si>
    <t>Water Quality Improvement (net of gray project design)</t>
  </si>
  <si>
    <t>$</t>
  </si>
  <si>
    <t>CY/acre</t>
  </si>
  <si>
    <t>Feet removed</t>
  </si>
  <si>
    <t>Cost per linear foot</t>
  </si>
  <si>
    <t>Calculated value</t>
  </si>
  <si>
    <t>User-entered value</t>
  </si>
  <si>
    <t>Cost per acre</t>
  </si>
  <si>
    <t>Area restored</t>
  </si>
  <si>
    <t>Capital Cost Assumptions</t>
  </si>
  <si>
    <t>Start Year</t>
  </si>
  <si>
    <t>End Year</t>
  </si>
  <si>
    <t>(Project Year Basis)</t>
  </si>
  <si>
    <t>Dredging (annualized)</t>
  </si>
  <si>
    <t>Discount rates</t>
  </si>
  <si>
    <t>Assumptions</t>
  </si>
  <si>
    <t>Misc</t>
  </si>
  <si>
    <t>Levee Repair (annualized)</t>
  </si>
  <si>
    <t>Utilities</t>
  </si>
  <si>
    <t>Federal Discount Rate</t>
  </si>
  <si>
    <t>Annual Costs (NPV)</t>
  </si>
  <si>
    <t>Lower Bound</t>
  </si>
  <si>
    <t>Upper Bound</t>
  </si>
  <si>
    <t>Grand Total - Annual O&amp;M</t>
  </si>
  <si>
    <t>Annual Costs (Net Present Value)</t>
  </si>
  <si>
    <t>Expand the rows above [+] to enter detailed O&amp;M Costs for each scenario</t>
  </si>
  <si>
    <t>Emergency response costs</t>
  </si>
  <si>
    <t>Cleanup costs</t>
  </si>
  <si>
    <t>Transportation delays</t>
  </si>
  <si>
    <t>Cost of infrastructure upgrades</t>
  </si>
  <si>
    <t>&lt;User entered value&gt;</t>
  </si>
  <si>
    <t>http://planning.usace.army.mil/toolbox/library/EGMs/EGM16-03.pdf</t>
  </si>
  <si>
    <t>Point Values</t>
  </si>
  <si>
    <t>Unit Day Values (2016)</t>
  </si>
  <si>
    <t>Average annual use over project life</t>
  </si>
  <si>
    <t>Army Corps Unit Day Values (2016)</t>
  </si>
  <si>
    <t>Net Present Value</t>
  </si>
  <si>
    <t>Specialized Fishing and Hunting</t>
  </si>
  <si>
    <t>General Recreation</t>
  </si>
  <si>
    <t>General Fishing and Hunting</t>
  </si>
  <si>
    <t>Specialized Recreation other than Fishing and Hunting</t>
  </si>
  <si>
    <t>Discount Rate</t>
  </si>
  <si>
    <t>Project Life (years)</t>
  </si>
  <si>
    <t>Project life (years)</t>
  </si>
  <si>
    <t>Project Life (Years)</t>
  </si>
  <si>
    <t>Flood Risk Reduction Benefits</t>
  </si>
  <si>
    <t>($ millions)</t>
  </si>
  <si>
    <t>Annual Value</t>
  </si>
  <si>
    <t>Work Years</t>
  </si>
  <si>
    <t>Annualized Costs</t>
  </si>
  <si>
    <t>Damages to structures and contents</t>
  </si>
  <si>
    <t>Residential-structures</t>
  </si>
  <si>
    <t>Residential-contents (50% of structure value)</t>
  </si>
  <si>
    <t>Commercial &amp; Industrial-structures</t>
  </si>
  <si>
    <t>C&amp;I-contents (100% of structure)</t>
  </si>
  <si>
    <t>Stream bank/levee repairs</t>
  </si>
  <si>
    <t>Hydrologic Event</t>
  </si>
  <si>
    <t>100-yr</t>
  </si>
  <si>
    <t>10-yr</t>
  </si>
  <si>
    <t>Event Exceedance Probability</t>
  </si>
  <si>
    <t>Interval Probability</t>
  </si>
  <si>
    <t>Loss Categories</t>
  </si>
  <si>
    <t>Expected Annual Damages (EAD)</t>
  </si>
  <si>
    <t># Structures</t>
  </si>
  <si>
    <t>Damage/Structure</t>
  </si>
  <si>
    <t>Total Damage</t>
  </si>
  <si>
    <t>Structure Damage Coefficient*</t>
  </si>
  <si>
    <t>Units</t>
  </si>
  <si>
    <t>Unit Cost</t>
  </si>
  <si>
    <t>Total Cost</t>
  </si>
  <si>
    <t>Stream bank/levee repairs (linear feet)</t>
  </si>
  <si>
    <t>Emergency response costs (cost per day)</t>
  </si>
  <si>
    <t>Cleanup costs (cost per day)</t>
  </si>
  <si>
    <t>Cost of infrastructure upgrades (misc)</t>
  </si>
  <si>
    <t>Ecosystem Service Provision by Year</t>
  </si>
  <si>
    <t>Ecosystem Service By Land Cover</t>
  </si>
  <si>
    <t>Acres by Land Cover</t>
  </si>
  <si>
    <t>Project</t>
  </si>
  <si>
    <t>No Action</t>
  </si>
  <si>
    <t>Incl planning, tech studies, conceptual design</t>
  </si>
  <si>
    <t>Other O&amp;M (Mitigation for dredging)</t>
  </si>
  <si>
    <t>Annualized O&amp;M</t>
  </si>
  <si>
    <t>*Assumed power law distribution</t>
  </si>
  <si>
    <t xml:space="preserve">Based on historical average for entire Bay Area; assumes nearby disposal </t>
  </si>
  <si>
    <t>Max Pts</t>
  </si>
  <si>
    <t>N/A</t>
  </si>
  <si>
    <t>Based on Historical Costs</t>
  </si>
  <si>
    <t>Estimated</t>
  </si>
  <si>
    <t>All costs rounded up to nearest thousand</t>
  </si>
  <si>
    <t>Baseline Costs (No Action)</t>
  </si>
  <si>
    <t>20-yr</t>
  </si>
  <si>
    <t>Planning, Permitting, Design (% of constr)</t>
  </si>
  <si>
    <t>Monitoring (% of total Proj costs)</t>
  </si>
  <si>
    <t>Initial</t>
  </si>
  <si>
    <t>Total</t>
  </si>
  <si>
    <t>Diked Wetlands</t>
  </si>
  <si>
    <t>"Quality" Adjustment</t>
  </si>
  <si>
    <t>Of Tidal Marsh</t>
  </si>
  <si>
    <t>Point estimates from three sources</t>
  </si>
  <si>
    <t>Cost per unit</t>
  </si>
  <si>
    <t>Net Change</t>
  </si>
  <si>
    <t>Monitoring Costs</t>
  </si>
  <si>
    <t>Damages Worksheet</t>
  </si>
  <si>
    <t>Alternative Names</t>
  </si>
  <si>
    <t>Alternative 1</t>
  </si>
  <si>
    <t>Alternative 2</t>
  </si>
  <si>
    <t>Year 1 expected users</t>
  </si>
  <si>
    <t>Expected annual change in use</t>
  </si>
  <si>
    <t>Expected Annual Value</t>
  </si>
  <si>
    <t>Recreational User Counts</t>
  </si>
  <si>
    <t>Change in Land Use</t>
  </si>
  <si>
    <t>(From Alternatives_Assumptions tab)</t>
  </si>
  <si>
    <t>O&amp;M Costs - Annualized</t>
  </si>
  <si>
    <t>Med</t>
  </si>
  <si>
    <t>Net Change in Env Benefits</t>
  </si>
  <si>
    <t>Flood Control 2.0: Benefit-Cost Analysis Workbook</t>
  </si>
  <si>
    <t>Version 2.0 - December 2016</t>
  </si>
  <si>
    <t>Land Cover/Acres</t>
  </si>
  <si>
    <t>FC 2.0</t>
  </si>
  <si>
    <t>Incl construction (5 years) plus 45 years</t>
  </si>
  <si>
    <t>FC 1.0/No Action</t>
  </si>
  <si>
    <t>50-yr</t>
  </si>
  <si>
    <t>Transportation delays (commercial)</t>
  </si>
  <si>
    <t>150-yr</t>
  </si>
  <si>
    <t>Expected Annual Damage Calculator (50 years)</t>
  </si>
  <si>
    <t>150-year event</t>
  </si>
  <si>
    <t>Based on 1982 flood</t>
  </si>
  <si>
    <t>Diked/Managed Marsh</t>
  </si>
  <si>
    <t>Bay Flat</t>
  </si>
  <si>
    <t>Fluvial Channel</t>
  </si>
  <si>
    <t>Lagoon</t>
  </si>
  <si>
    <t>Storage/Treatment Basin</t>
  </si>
  <si>
    <t>Placement of fill in subtidal elevations</t>
  </si>
  <si>
    <t>Levee removal</t>
  </si>
  <si>
    <t>Million CY</t>
  </si>
  <si>
    <t>Cost per station</t>
  </si>
  <si>
    <t># replacements (@ 25-year life)</t>
  </si>
  <si>
    <t>Pump station rebuild/replace</t>
  </si>
  <si>
    <t>Traditional (1.0)/horizontal (2.0) levee construction</t>
  </si>
  <si>
    <t>Sum of probabilities (50-yr design)</t>
  </si>
  <si>
    <t>Ecosystem Service Benefits</t>
  </si>
  <si>
    <t>Recreational Benefits</t>
  </si>
  <si>
    <t>NA</t>
  </si>
  <si>
    <t>Avoided Damages to Structures &amp; Contents</t>
  </si>
  <si>
    <t>Public Costs</t>
  </si>
  <si>
    <t>Avoided Public Costs</t>
  </si>
  <si>
    <t>Avoided Transpo Costs</t>
  </si>
  <si>
    <t>Business Income</t>
  </si>
  <si>
    <t>Tidal habitat value per acre (2015 dollars)</t>
  </si>
  <si>
    <t>Of Tidal Marsh (for flood reduction)</t>
  </si>
  <si>
    <t>Misc (sediment slurry transport, starting in 2036)</t>
  </si>
  <si>
    <t>Baylands</t>
  </si>
  <si>
    <t>Study Area</t>
  </si>
  <si>
    <t>Acres</t>
  </si>
  <si>
    <t>Land cover 2015</t>
  </si>
  <si>
    <t>Yield/Acre</t>
  </si>
  <si>
    <t>tons/acre</t>
  </si>
  <si>
    <t>Production</t>
  </si>
  <si>
    <t>tons</t>
  </si>
  <si>
    <t>Market Price*</t>
  </si>
  <si>
    <t>1995-2014 average *Oat hay typically 1/2 the value of alfalfa hay</t>
  </si>
  <si>
    <t>Total Revenues</t>
  </si>
  <si>
    <t>Price/ton</t>
  </si>
  <si>
    <t>Yield</t>
  </si>
  <si>
    <t>Avg</t>
  </si>
  <si>
    <t>StDev (1995-2014)</t>
  </si>
  <si>
    <t>Revenues</t>
  </si>
  <si>
    <t>FC 1.0 (50-yr)</t>
  </si>
  <si>
    <t>FC 2.0 (5-yrs)</t>
  </si>
  <si>
    <t>5-yr average</t>
  </si>
  <si>
    <t>+ 1SD</t>
  </si>
  <si>
    <t>None</t>
  </si>
  <si>
    <t>Basis (year event)</t>
  </si>
  <si>
    <t>Annualized Losses</t>
  </si>
  <si>
    <t>EAD</t>
  </si>
  <si>
    <t>Multiplier</t>
  </si>
  <si>
    <t>Avoided Transportation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</si>
</sst>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(&quot;$&quot;* #,##0_);_(&quot;$&quot;* \(#,##0\);_(&quot;$&quot;* &quot;-&quot;??_);_(@_)"/>
    <numFmt numFmtId="167" formatCode="_(* #,##0_);_(* \(#,##0\);_(* &quot;-&quot;??_);_(@_)"/>
    <numFmt numFmtId="168" formatCode="\$#,##0"/>
    <numFmt numFmtId="169" formatCode="&quot;$&quot;#,##0"/>
    <numFmt numFmtId="170" formatCode="0.000%"/>
    <numFmt numFmtId="171" formatCode="\$#,##0.00"/>
    <numFmt numFmtId="172" formatCode="\$\ 0.00"/>
    <numFmt numFmtId="173" formatCode="0.000"/>
    <numFmt numFmtId="174" formatCode="0.0000"/>
    <numFmt numFmtId="175" formatCode="_-&quot;$&quot;* #,##0_-;\-&quot;$&quot;* #,##0_-;_-&quot;$&quot;* &quot;-&quot;??_-;_-@_-"/>
    <numFmt numFmtId="176" formatCode="0.00_ ;[Red]\-0.00\ "/>
  </numFmts>
  <fonts count="4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A"/>
      <name val="Calibri"/>
      <family val="2"/>
    </font>
    <font>
      <b/>
      <sz val="10"/>
      <color rgb="FF00000A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3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2">
    <xf numFmtId="0" fontId="0" fillId="0" borderId="0" xfId="0"/>
    <xf numFmtId="0" fontId="11" fillId="0" borderId="0" xfId="0" applyFont="1" applyBorder="1"/>
    <xf numFmtId="0" fontId="10" fillId="0" borderId="0" xfId="0" applyFont="1" applyBorder="1"/>
    <xf numFmtId="0" fontId="12" fillId="0" borderId="0" xfId="0" applyFont="1"/>
    <xf numFmtId="0" fontId="11" fillId="0" borderId="0" xfId="0" applyFont="1" applyBorder="1" applyAlignment="1"/>
    <xf numFmtId="0" fontId="10" fillId="0" borderId="0" xfId="0" applyFont="1" applyBorder="1" applyAlignment="1"/>
    <xf numFmtId="6" fontId="11" fillId="0" borderId="0" xfId="0" applyNumberFormat="1" applyFont="1" applyBorder="1" applyAlignment="1"/>
    <xf numFmtId="10" fontId="11" fillId="0" borderId="0" xfId="0" applyNumberFormat="1" applyFont="1" applyBorder="1" applyAlignment="1"/>
    <xf numFmtId="10" fontId="10" fillId="0" borderId="0" xfId="0" applyNumberFormat="1" applyFont="1" applyBorder="1" applyAlignment="1"/>
    <xf numFmtId="0" fontId="11" fillId="0" borderId="0" xfId="0" applyNumberFormat="1" applyFont="1" applyBorder="1" applyAlignment="1"/>
    <xf numFmtId="0" fontId="11" fillId="0" borderId="0" xfId="6" applyNumberFormat="1" applyFont="1" applyBorder="1" applyAlignment="1"/>
    <xf numFmtId="0" fontId="11" fillId="0" borderId="0" xfId="0" applyFont="1" applyBorder="1" applyAlignment="1">
      <alignment horizontal="left" indent="1"/>
    </xf>
    <xf numFmtId="166" fontId="11" fillId="0" borderId="0" xfId="6" applyNumberFormat="1" applyFont="1" applyBorder="1" applyAlignment="1"/>
    <xf numFmtId="166" fontId="10" fillId="0" borderId="0" xfId="6" applyNumberFormat="1" applyFont="1" applyBorder="1" applyAlignment="1"/>
    <xf numFmtId="0" fontId="14" fillId="0" borderId="0" xfId="0" applyFont="1" applyBorder="1"/>
    <xf numFmtId="0" fontId="14" fillId="0" borderId="0" xfId="0" applyFont="1" applyFill="1" applyBorder="1"/>
    <xf numFmtId="0" fontId="11" fillId="0" borderId="2" xfId="0" applyFont="1" applyBorder="1" applyAlignment="1"/>
    <xf numFmtId="0" fontId="15" fillId="0" borderId="0" xfId="0" applyFont="1" applyBorder="1"/>
    <xf numFmtId="0" fontId="15" fillId="0" borderId="0" xfId="0" applyFont="1"/>
    <xf numFmtId="0" fontId="16" fillId="0" borderId="0" xfId="0" applyFont="1" applyBorder="1"/>
    <xf numFmtId="0" fontId="16" fillId="0" borderId="0" xfId="0" applyFont="1"/>
    <xf numFmtId="0" fontId="17" fillId="0" borderId="0" xfId="0" applyFont="1"/>
    <xf numFmtId="0" fontId="17" fillId="0" borderId="0" xfId="0" applyFont="1" applyBorder="1"/>
    <xf numFmtId="0" fontId="17" fillId="0" borderId="1" xfId="0" applyFont="1" applyBorder="1"/>
    <xf numFmtId="0" fontId="17" fillId="0" borderId="2" xfId="0" applyFont="1" applyBorder="1"/>
    <xf numFmtId="0" fontId="17" fillId="2" borderId="4" xfId="0" applyFont="1" applyFill="1" applyBorder="1"/>
    <xf numFmtId="0" fontId="17" fillId="2" borderId="7" xfId="0" applyFont="1" applyFill="1" applyBorder="1"/>
    <xf numFmtId="0" fontId="17" fillId="3" borderId="0" xfId="0" applyFont="1" applyFill="1" applyBorder="1"/>
    <xf numFmtId="2" fontId="17" fillId="0" borderId="0" xfId="0" applyNumberFormat="1" applyFont="1" applyBorder="1"/>
    <xf numFmtId="0" fontId="17" fillId="2" borderId="10" xfId="0" applyFont="1" applyFill="1" applyBorder="1"/>
    <xf numFmtId="2" fontId="16" fillId="0" borderId="0" xfId="0" applyNumberFormat="1" applyFont="1" applyBorder="1"/>
    <xf numFmtId="2" fontId="17" fillId="0" borderId="0" xfId="0" applyNumberFormat="1" applyFont="1" applyFill="1" applyBorder="1"/>
    <xf numFmtId="0" fontId="10" fillId="0" borderId="0" xfId="0" applyFont="1"/>
    <xf numFmtId="0" fontId="11" fillId="0" borderId="1" xfId="0" applyFont="1" applyBorder="1"/>
    <xf numFmtId="0" fontId="11" fillId="0" borderId="0" xfId="0" applyFont="1"/>
    <xf numFmtId="0" fontId="11" fillId="0" borderId="2" xfId="0" applyFont="1" applyBorder="1"/>
    <xf numFmtId="42" fontId="10" fillId="0" borderId="0" xfId="634" applyNumberFormat="1" applyFont="1"/>
    <xf numFmtId="42" fontId="11" fillId="0" borderId="0" xfId="634" applyNumberFormat="1" applyFont="1"/>
    <xf numFmtId="42" fontId="11" fillId="0" borderId="0" xfId="634" applyNumberFormat="1" applyFont="1" applyBorder="1"/>
    <xf numFmtId="0" fontId="10" fillId="0" borderId="3" xfId="0" applyFont="1" applyBorder="1"/>
    <xf numFmtId="0" fontId="23" fillId="0" borderId="0" xfId="0" applyFont="1" applyBorder="1"/>
    <xf numFmtId="0" fontId="17" fillId="3" borderId="0" xfId="0" applyFont="1" applyFill="1" applyBorder="1" applyAlignment="1">
      <alignment horizontal="right"/>
    </xf>
    <xf numFmtId="0" fontId="21" fillId="0" borderId="0" xfId="752" applyFont="1" applyBorder="1" applyAlignment="1">
      <alignment wrapText="1"/>
    </xf>
    <xf numFmtId="0" fontId="21" fillId="0" borderId="0" xfId="752" applyFont="1" applyBorder="1" applyAlignment="1">
      <alignment horizontal="right" wrapText="1"/>
    </xf>
    <xf numFmtId="0" fontId="19" fillId="3" borderId="0" xfId="752" applyFont="1" applyFill="1" applyBorder="1" applyAlignment="1">
      <alignment vertical="center" wrapText="1"/>
    </xf>
    <xf numFmtId="0" fontId="21" fillId="3" borderId="0" xfId="752" applyFont="1" applyFill="1" applyBorder="1" applyAlignment="1">
      <alignment horizontal="right" wrapText="1"/>
    </xf>
    <xf numFmtId="0" fontId="21" fillId="3" borderId="0" xfId="752" quotePrefix="1" applyFont="1" applyFill="1" applyBorder="1" applyAlignment="1">
      <alignment horizontal="right" wrapText="1"/>
    </xf>
    <xf numFmtId="0" fontId="20" fillId="0" borderId="1" xfId="752" applyFont="1" applyBorder="1" applyAlignment="1"/>
    <xf numFmtId="166" fontId="20" fillId="0" borderId="1" xfId="754" applyNumberFormat="1" applyFont="1" applyBorder="1" applyAlignment="1">
      <alignment horizontal="right"/>
    </xf>
    <xf numFmtId="0" fontId="20" fillId="0" borderId="0" xfId="752" applyFont="1" applyBorder="1" applyAlignment="1"/>
    <xf numFmtId="0" fontId="18" fillId="0" borderId="1" xfId="752" applyFont="1" applyBorder="1" applyAlignment="1">
      <alignment vertical="center" wrapText="1"/>
    </xf>
    <xf numFmtId="41" fontId="20" fillId="0" borderId="1" xfId="753" applyNumberFormat="1" applyFont="1" applyBorder="1" applyAlignment="1">
      <alignment horizontal="right"/>
    </xf>
    <xf numFmtId="166" fontId="20" fillId="0" borderId="0" xfId="754" applyNumberFormat="1" applyFont="1" applyBorder="1" applyAlignment="1">
      <alignment horizontal="right"/>
    </xf>
    <xf numFmtId="0" fontId="18" fillId="0" borderId="0" xfId="752" applyFont="1" applyBorder="1" applyAlignment="1">
      <alignment vertical="center" wrapText="1"/>
    </xf>
    <xf numFmtId="41" fontId="20" fillId="0" borderId="0" xfId="753" applyNumberFormat="1" applyFont="1" applyBorder="1" applyAlignment="1">
      <alignment horizontal="right"/>
    </xf>
    <xf numFmtId="0" fontId="20" fillId="0" borderId="0" xfId="752" applyFont="1" applyBorder="1" applyAlignment="1">
      <alignment horizontal="left"/>
    </xf>
    <xf numFmtId="0" fontId="20" fillId="0" borderId="2" xfId="752" applyFont="1" applyBorder="1" applyAlignment="1">
      <alignment horizontal="left"/>
    </xf>
    <xf numFmtId="166" fontId="20" fillId="0" borderId="2" xfId="754" applyNumberFormat="1" applyFont="1" applyBorder="1" applyAlignment="1">
      <alignment horizontal="right"/>
    </xf>
    <xf numFmtId="0" fontId="18" fillId="0" borderId="2" xfId="752" applyFont="1" applyBorder="1" applyAlignment="1">
      <alignment vertical="center" wrapText="1"/>
    </xf>
    <xf numFmtId="41" fontId="20" fillId="0" borderId="2" xfId="753" applyNumberFormat="1" applyFont="1" applyBorder="1" applyAlignment="1">
      <alignment horizontal="right"/>
    </xf>
    <xf numFmtId="0" fontId="21" fillId="0" borderId="0" xfId="752" applyFont="1" applyBorder="1" applyAlignment="1">
      <alignment horizontal="left"/>
    </xf>
    <xf numFmtId="0" fontId="20" fillId="0" borderId="0" xfId="752" applyFont="1" applyBorder="1"/>
    <xf numFmtId="0" fontId="20" fillId="0" borderId="0" xfId="752" applyFont="1" applyBorder="1" applyAlignment="1">
      <alignment horizontal="right"/>
    </xf>
    <xf numFmtId="0" fontId="21" fillId="0" borderId="0" xfId="752" applyFont="1" applyFill="1" applyBorder="1" applyAlignment="1">
      <alignment wrapText="1"/>
    </xf>
    <xf numFmtId="0" fontId="21" fillId="0" borderId="0" xfId="752" applyFont="1" applyFill="1" applyBorder="1" applyAlignment="1">
      <alignment horizontal="right" wrapText="1"/>
    </xf>
    <xf numFmtId="0" fontId="20" fillId="0" borderId="0" xfId="752" applyFont="1" applyFill="1" applyBorder="1" applyAlignment="1"/>
    <xf numFmtId="0" fontId="21" fillId="0" borderId="0" xfId="752" applyFont="1" applyBorder="1"/>
    <xf numFmtId="0" fontId="15" fillId="0" borderId="0" xfId="0" applyFont="1" applyFill="1" applyBorder="1"/>
    <xf numFmtId="0" fontId="11" fillId="0" borderId="0" xfId="0" applyFont="1" applyBorder="1" applyAlignment="1">
      <alignment horizontal="left" indent="2"/>
    </xf>
    <xf numFmtId="0" fontId="11" fillId="0" borderId="2" xfId="0" applyNumberFormat="1" applyFont="1" applyBorder="1" applyAlignment="1"/>
    <xf numFmtId="0" fontId="11" fillId="0" borderId="0" xfId="0" applyFont="1" applyFill="1" applyBorder="1"/>
    <xf numFmtId="0" fontId="29" fillId="0" borderId="0" xfId="0" applyFont="1" applyBorder="1"/>
    <xf numFmtId="0" fontId="10" fillId="0" borderId="0" xfId="0" applyFont="1" applyBorder="1" applyAlignment="1">
      <alignment horizontal="left" indent="1"/>
    </xf>
    <xf numFmtId="0" fontId="10" fillId="0" borderId="0" xfId="0" applyNumberFormat="1" applyFont="1" applyBorder="1" applyAlignment="1"/>
    <xf numFmtId="0" fontId="12" fillId="0" borderId="2" xfId="0" applyFont="1" applyBorder="1" applyAlignment="1"/>
    <xf numFmtId="0" fontId="12" fillId="0" borderId="2" xfId="0" applyFont="1" applyBorder="1"/>
    <xf numFmtId="0" fontId="12" fillId="0" borderId="0" xfId="0" applyFont="1" applyBorder="1"/>
    <xf numFmtId="0" fontId="10" fillId="0" borderId="0" xfId="6" applyNumberFormat="1" applyFont="1" applyBorder="1" applyAlignment="1"/>
    <xf numFmtId="0" fontId="10" fillId="0" borderId="0" xfId="0" applyFont="1" applyFill="1" applyBorder="1"/>
    <xf numFmtId="0" fontId="11" fillId="0" borderId="0" xfId="0" applyFont="1" applyFill="1" applyBorder="1" applyAlignment="1"/>
    <xf numFmtId="0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/>
    <xf numFmtId="0" fontId="31" fillId="3" borderId="13" xfId="0" applyFont="1" applyFill="1" applyBorder="1"/>
    <xf numFmtId="0" fontId="32" fillId="0" borderId="0" xfId="0" applyFont="1" applyBorder="1"/>
    <xf numFmtId="169" fontId="10" fillId="3" borderId="14" xfId="0" applyNumberFormat="1" applyFont="1" applyFill="1" applyBorder="1" applyAlignment="1"/>
    <xf numFmtId="169" fontId="10" fillId="3" borderId="3" xfId="0" applyNumberFormat="1" applyFont="1" applyFill="1" applyBorder="1" applyAlignment="1"/>
    <xf numFmtId="169" fontId="10" fillId="3" borderId="15" xfId="0" applyNumberFormat="1" applyFont="1" applyFill="1" applyBorder="1" applyAlignment="1"/>
    <xf numFmtId="169" fontId="10" fillId="3" borderId="14" xfId="6" applyNumberFormat="1" applyFont="1" applyFill="1" applyBorder="1" applyAlignment="1"/>
    <xf numFmtId="169" fontId="10" fillId="3" borderId="3" xfId="6" applyNumberFormat="1" applyFont="1" applyFill="1" applyBorder="1" applyAlignment="1"/>
    <xf numFmtId="169" fontId="10" fillId="3" borderId="15" xfId="6" applyNumberFormat="1" applyFont="1" applyFill="1" applyBorder="1" applyAlignment="1"/>
    <xf numFmtId="169" fontId="10" fillId="3" borderId="14" xfId="97" applyNumberFormat="1" applyFont="1" applyFill="1" applyBorder="1" applyAlignment="1"/>
    <xf numFmtId="0" fontId="10" fillId="0" borderId="0" xfId="0" applyFont="1" applyFill="1" applyBorder="1" applyAlignment="1"/>
    <xf numFmtId="166" fontId="11" fillId="0" borderId="0" xfId="6" applyNumberFormat="1" applyFont="1" applyBorder="1"/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29" fillId="0" borderId="0" xfId="0" applyFont="1"/>
    <xf numFmtId="0" fontId="29" fillId="0" borderId="0" xfId="0" applyFont="1" applyFill="1" applyBorder="1"/>
    <xf numFmtId="168" fontId="11" fillId="0" borderId="0" xfId="0" applyNumberFormat="1" applyFont="1" applyBorder="1"/>
    <xf numFmtId="0" fontId="34" fillId="0" borderId="1" xfId="0" applyFont="1" applyFill="1" applyBorder="1" applyAlignment="1"/>
    <xf numFmtId="166" fontId="34" fillId="3" borderId="1" xfId="6" applyNumberFormat="1" applyFont="1" applyFill="1" applyBorder="1" applyAlignment="1"/>
    <xf numFmtId="0" fontId="34" fillId="0" borderId="0" xfId="0" applyFont="1" applyFill="1" applyBorder="1"/>
    <xf numFmtId="166" fontId="34" fillId="3" borderId="0" xfId="6" applyNumberFormat="1" applyFont="1" applyFill="1" applyBorder="1" applyAlignment="1"/>
    <xf numFmtId="0" fontId="35" fillId="0" borderId="0" xfId="0" applyFont="1" applyFill="1" applyBorder="1"/>
    <xf numFmtId="166" fontId="34" fillId="3" borderId="0" xfId="6" applyNumberFormat="1" applyFont="1" applyFill="1" applyBorder="1"/>
    <xf numFmtId="0" fontId="34" fillId="0" borderId="0" xfId="0" applyFont="1" applyBorder="1"/>
    <xf numFmtId="0" fontId="34" fillId="0" borderId="0" xfId="0" applyFont="1"/>
    <xf numFmtId="0" fontId="34" fillId="0" borderId="2" xfId="0" applyFont="1" applyBorder="1"/>
    <xf numFmtId="166" fontId="34" fillId="3" borderId="2" xfId="6" applyNumberFormat="1" applyFont="1" applyFill="1" applyBorder="1"/>
    <xf numFmtId="42" fontId="10" fillId="3" borderId="0" xfId="634" applyNumberFormat="1" applyFont="1" applyFill="1"/>
    <xf numFmtId="0" fontId="11" fillId="0" borderId="0" xfId="0" applyFont="1" applyFill="1"/>
    <xf numFmtId="42" fontId="10" fillId="3" borderId="3" xfId="634" applyNumberFormat="1" applyFont="1" applyFill="1" applyBorder="1"/>
    <xf numFmtId="42" fontId="10" fillId="0" borderId="0" xfId="634" applyNumberFormat="1" applyFont="1" applyBorder="1"/>
    <xf numFmtId="0" fontId="29" fillId="0" borderId="0" xfId="0" applyFont="1" applyFill="1" applyBorder="1" applyAlignment="1">
      <alignment horizontal="center"/>
    </xf>
    <xf numFmtId="0" fontId="37" fillId="0" borderId="0" xfId="0" applyFont="1"/>
    <xf numFmtId="0" fontId="12" fillId="5" borderId="1" xfId="0" applyFont="1" applyFill="1" applyBorder="1"/>
    <xf numFmtId="0" fontId="37" fillId="5" borderId="1" xfId="0" applyFont="1" applyFill="1" applyBorder="1"/>
    <xf numFmtId="0" fontId="37" fillId="5" borderId="6" xfId="0" applyFont="1" applyFill="1" applyBorder="1"/>
    <xf numFmtId="0" fontId="12" fillId="5" borderId="9" xfId="0" applyFont="1" applyFill="1" applyBorder="1"/>
    <xf numFmtId="0" fontId="0" fillId="5" borderId="0" xfId="0" applyFill="1" applyBorder="1"/>
    <xf numFmtId="0" fontId="0" fillId="5" borderId="8" xfId="0" applyFill="1" applyBorder="1"/>
    <xf numFmtId="0" fontId="12" fillId="5" borderId="0" xfId="0" applyFont="1" applyFill="1" applyBorder="1"/>
    <xf numFmtId="0" fontId="12" fillId="5" borderId="8" xfId="0" applyFont="1" applyFill="1" applyBorder="1"/>
    <xf numFmtId="0" fontId="12" fillId="5" borderId="11" xfId="0" applyFont="1" applyFill="1" applyBorder="1"/>
    <xf numFmtId="0" fontId="0" fillId="5" borderId="2" xfId="0" applyFill="1" applyBorder="1"/>
    <xf numFmtId="0" fontId="0" fillId="5" borderId="12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1" xfId="0" applyFont="1" applyFill="1" applyBorder="1"/>
    <xf numFmtId="1" fontId="11" fillId="0" borderId="0" xfId="0" applyNumberFormat="1" applyFont="1"/>
    <xf numFmtId="0" fontId="38" fillId="0" borderId="0" xfId="0" applyFont="1" applyBorder="1"/>
    <xf numFmtId="0" fontId="40" fillId="0" borderId="0" xfId="0" applyFont="1" applyFill="1" applyBorder="1"/>
    <xf numFmtId="9" fontId="29" fillId="3" borderId="0" xfId="0" applyNumberFormat="1" applyFont="1" applyFill="1"/>
    <xf numFmtId="9" fontId="39" fillId="3" borderId="0" xfId="0" applyNumberFormat="1" applyFont="1" applyFill="1" applyBorder="1"/>
    <xf numFmtId="171" fontId="29" fillId="0" borderId="0" xfId="0" applyNumberFormat="1" applyFont="1" applyFill="1" applyBorder="1"/>
    <xf numFmtId="164" fontId="41" fillId="0" borderId="0" xfId="0" applyNumberFormat="1" applyFont="1" applyAlignment="1">
      <alignment horizontal="right" vertical="center"/>
    </xf>
    <xf numFmtId="170" fontId="11" fillId="3" borderId="0" xfId="3" applyNumberFormat="1" applyFont="1" applyFill="1"/>
    <xf numFmtId="168" fontId="11" fillId="0" borderId="0" xfId="0" applyNumberFormat="1" applyFont="1"/>
    <xf numFmtId="168" fontId="11" fillId="0" borderId="0" xfId="0" applyNumberFormat="1" applyFont="1" applyFill="1" applyBorder="1"/>
    <xf numFmtId="168" fontId="29" fillId="0" borderId="0" xfId="0" applyNumberFormat="1" applyFont="1" applyFill="1" applyBorder="1"/>
    <xf numFmtId="170" fontId="11" fillId="0" borderId="0" xfId="3" applyNumberFormat="1" applyFont="1" applyFill="1"/>
    <xf numFmtId="0" fontId="34" fillId="0" borderId="2" xfId="0" applyFont="1" applyBorder="1" applyAlignment="1"/>
    <xf numFmtId="0" fontId="34" fillId="0" borderId="0" xfId="0" applyFont="1" applyFill="1" applyBorder="1" applyAlignment="1">
      <alignment horizontal="left"/>
    </xf>
    <xf numFmtId="0" fontId="0" fillId="0" borderId="0" xfId="0" applyBorder="1"/>
    <xf numFmtId="0" fontId="34" fillId="0" borderId="1" xfId="0" applyNumberFormat="1" applyFont="1" applyFill="1" applyBorder="1" applyAlignment="1"/>
    <xf numFmtId="0" fontId="34" fillId="0" borderId="0" xfId="0" applyNumberFormat="1" applyFont="1" applyFill="1" applyBorder="1" applyAlignment="1"/>
    <xf numFmtId="0" fontId="34" fillId="0" borderId="0" xfId="6" applyNumberFormat="1" applyFont="1" applyFill="1" applyBorder="1" applyAlignment="1"/>
    <xf numFmtId="0" fontId="34" fillId="0" borderId="2" xfId="0" applyFont="1" applyFill="1" applyBorder="1"/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39" fillId="0" borderId="0" xfId="0" applyFont="1" applyAlignment="1">
      <alignment vertical="top"/>
    </xf>
    <xf numFmtId="0" fontId="3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23" fillId="3" borderId="0" xfId="0" applyFont="1" applyFill="1" applyBorder="1" applyAlignment="1">
      <alignment vertical="top"/>
    </xf>
    <xf numFmtId="0" fontId="23" fillId="3" borderId="0" xfId="0" applyFont="1" applyFill="1" applyAlignment="1">
      <alignment vertical="top" wrapText="1"/>
    </xf>
    <xf numFmtId="167" fontId="23" fillId="3" borderId="0" xfId="673" applyNumberFormat="1" applyFont="1" applyFill="1" applyBorder="1" applyAlignment="1">
      <alignment vertical="top" wrapText="1"/>
    </xf>
    <xf numFmtId="0" fontId="14" fillId="0" borderId="2" xfId="0" applyFont="1" applyBorder="1" applyAlignment="1">
      <alignment vertical="top"/>
    </xf>
    <xf numFmtId="0" fontId="14" fillId="0" borderId="2" xfId="0" applyFont="1" applyBorder="1" applyAlignment="1">
      <alignment vertical="top" wrapText="1"/>
    </xf>
    <xf numFmtId="0" fontId="42" fillId="0" borderId="0" xfId="0" applyFont="1" applyFill="1" applyBorder="1" applyAlignment="1">
      <alignment horizontal="left" vertical="top" wrapText="1"/>
    </xf>
    <xf numFmtId="0" fontId="42" fillId="0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42" fillId="0" borderId="2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vertical="top" wrapText="1"/>
    </xf>
    <xf numFmtId="44" fontId="23" fillId="3" borderId="1" xfId="6" applyFont="1" applyFill="1" applyBorder="1" applyAlignment="1">
      <alignment vertical="top"/>
    </xf>
    <xf numFmtId="44" fontId="23" fillId="3" borderId="0" xfId="6" applyFont="1" applyFill="1" applyBorder="1" applyAlignment="1">
      <alignment vertical="top" wrapText="1"/>
    </xf>
    <xf numFmtId="44" fontId="23" fillId="3" borderId="0" xfId="6" applyFont="1" applyFill="1" applyBorder="1" applyAlignment="1">
      <alignment vertical="top"/>
    </xf>
    <xf numFmtId="44" fontId="23" fillId="3" borderId="2" xfId="6" applyFont="1" applyFill="1" applyBorder="1" applyAlignment="1">
      <alignment vertical="top" wrapText="1"/>
    </xf>
    <xf numFmtId="167" fontId="23" fillId="0" borderId="0" xfId="673" applyNumberFormat="1" applyFont="1" applyFill="1" applyBorder="1" applyAlignment="1">
      <alignment vertical="top"/>
    </xf>
    <xf numFmtId="166" fontId="14" fillId="3" borderId="1" xfId="6" applyNumberFormat="1" applyFont="1" applyFill="1" applyBorder="1" applyAlignment="1">
      <alignment vertical="top"/>
    </xf>
    <xf numFmtId="166" fontId="14" fillId="3" borderId="1" xfId="6" applyNumberFormat="1" applyFont="1" applyFill="1" applyBorder="1" applyAlignment="1">
      <alignment vertical="top" wrapText="1"/>
    </xf>
    <xf numFmtId="166" fontId="14" fillId="3" borderId="0" xfId="6" applyNumberFormat="1" applyFont="1" applyFill="1" applyBorder="1" applyAlignment="1">
      <alignment vertical="top"/>
    </xf>
    <xf numFmtId="166" fontId="14" fillId="3" borderId="2" xfId="6" applyNumberFormat="1" applyFont="1" applyFill="1" applyBorder="1" applyAlignment="1">
      <alignment vertical="top"/>
    </xf>
    <xf numFmtId="0" fontId="23" fillId="3" borderId="0" xfId="0" applyFont="1" applyFill="1" applyBorder="1" applyAlignment="1">
      <alignment vertical="top" wrapText="1"/>
    </xf>
    <xf numFmtId="0" fontId="17" fillId="0" borderId="0" xfId="0" applyFont="1" applyFill="1" applyBorder="1"/>
    <xf numFmtId="0" fontId="16" fillId="3" borderId="0" xfId="0" applyFont="1" applyFill="1" applyBorder="1"/>
    <xf numFmtId="166" fontId="10" fillId="3" borderId="3" xfId="6" applyNumberFormat="1" applyFont="1" applyFill="1" applyBorder="1"/>
    <xf numFmtId="167" fontId="11" fillId="3" borderId="0" xfId="97" applyNumberFormat="1" applyFont="1" applyFill="1"/>
    <xf numFmtId="0" fontId="43" fillId="0" borderId="0" xfId="0" applyFont="1" applyFill="1" applyBorder="1"/>
    <xf numFmtId="0" fontId="17" fillId="3" borderId="0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2" fontId="17" fillId="3" borderId="0" xfId="0" applyNumberFormat="1" applyFont="1" applyFill="1" applyBorder="1" applyAlignment="1">
      <alignment horizontal="center"/>
    </xf>
    <xf numFmtId="167" fontId="11" fillId="0" borderId="0" xfId="97" applyNumberFormat="1" applyFont="1" applyBorder="1"/>
    <xf numFmtId="167" fontId="11" fillId="0" borderId="0" xfId="97" applyNumberFormat="1" applyFont="1" applyFill="1" applyBorder="1"/>
    <xf numFmtId="0" fontId="11" fillId="3" borderId="0" xfId="0" applyFont="1" applyFill="1" applyBorder="1"/>
    <xf numFmtId="174" fontId="11" fillId="3" borderId="0" xfId="0" applyNumberFormat="1" applyFont="1" applyFill="1" applyBorder="1"/>
    <xf numFmtId="0" fontId="34" fillId="0" borderId="0" xfId="0" applyFont="1" applyFill="1" applyBorder="1" applyAlignment="1">
      <alignment horizontal="left" indent="1"/>
    </xf>
    <xf numFmtId="0" fontId="34" fillId="0" borderId="2" xfId="0" applyFont="1" applyFill="1" applyBorder="1" applyAlignment="1"/>
    <xf numFmtId="166" fontId="34" fillId="0" borderId="2" xfId="6" applyNumberFormat="1" applyFont="1" applyFill="1" applyBorder="1"/>
    <xf numFmtId="0" fontId="34" fillId="0" borderId="0" xfId="0" applyFont="1" applyFill="1"/>
    <xf numFmtId="0" fontId="34" fillId="0" borderId="2" xfId="0" applyFont="1" applyFill="1" applyBorder="1" applyAlignment="1">
      <alignment horizontal="left" indent="1"/>
    </xf>
    <xf numFmtId="0" fontId="11" fillId="3" borderId="1" xfId="0" applyFont="1" applyFill="1" applyBorder="1"/>
    <xf numFmtId="174" fontId="11" fillId="3" borderId="2" xfId="0" applyNumberFormat="1" applyFont="1" applyFill="1" applyBorder="1"/>
    <xf numFmtId="174" fontId="10" fillId="3" borderId="0" xfId="0" applyNumberFormat="1" applyFont="1" applyFill="1" applyBorder="1"/>
    <xf numFmtId="0" fontId="11" fillId="3" borderId="2" xfId="0" applyFont="1" applyFill="1" applyBorder="1"/>
    <xf numFmtId="166" fontId="11" fillId="3" borderId="1" xfId="6" applyNumberFormat="1" applyFont="1" applyFill="1" applyBorder="1"/>
    <xf numFmtId="166" fontId="11" fillId="3" borderId="0" xfId="6" applyNumberFormat="1" applyFont="1" applyFill="1" applyBorder="1"/>
    <xf numFmtId="166" fontId="11" fillId="3" borderId="2" xfId="6" applyNumberFormat="1" applyFont="1" applyFill="1" applyBorder="1"/>
    <xf numFmtId="166" fontId="11" fillId="0" borderId="1" xfId="0" applyNumberFormat="1" applyFont="1" applyBorder="1"/>
    <xf numFmtId="166" fontId="11" fillId="0" borderId="0" xfId="6" applyNumberFormat="1" applyFont="1" applyFill="1" applyBorder="1"/>
    <xf numFmtId="0" fontId="34" fillId="0" borderId="1" xfId="0" applyFont="1" applyFill="1" applyBorder="1" applyAlignment="1">
      <alignment horizontal="left"/>
    </xf>
    <xf numFmtId="0" fontId="34" fillId="0" borderId="2" xfId="0" applyFont="1" applyFill="1" applyBorder="1" applyAlignment="1">
      <alignment horizontal="left"/>
    </xf>
    <xf numFmtId="0" fontId="11" fillId="4" borderId="0" xfId="0" applyFont="1" applyFill="1"/>
    <xf numFmtId="0" fontId="10" fillId="4" borderId="0" xfId="0" applyFont="1" applyFill="1"/>
    <xf numFmtId="166" fontId="20" fillId="0" borderId="1" xfId="6" applyNumberFormat="1" applyFont="1" applyBorder="1" applyAlignment="1">
      <alignment horizontal="right"/>
    </xf>
    <xf numFmtId="166" fontId="20" fillId="0" borderId="0" xfId="6" applyNumberFormat="1" applyFont="1" applyBorder="1" applyAlignment="1">
      <alignment horizontal="right"/>
    </xf>
    <xf numFmtId="166" fontId="20" fillId="0" borderId="2" xfId="6" applyNumberFormat="1" applyFont="1" applyBorder="1" applyAlignment="1">
      <alignment horizontal="right"/>
    </xf>
    <xf numFmtId="0" fontId="21" fillId="3" borderId="0" xfId="752" applyFont="1" applyFill="1" applyBorder="1"/>
    <xf numFmtId="0" fontId="21" fillId="3" borderId="0" xfId="752" applyFont="1" applyFill="1" applyBorder="1" applyAlignment="1">
      <alignment horizontal="right"/>
    </xf>
    <xf numFmtId="0" fontId="20" fillId="0" borderId="2" xfId="752" applyFont="1" applyBorder="1" applyAlignment="1">
      <alignment wrapText="1"/>
    </xf>
    <xf numFmtId="0" fontId="20" fillId="0" borderId="2" xfId="752" applyFont="1" applyBorder="1" applyAlignment="1">
      <alignment horizontal="left" wrapText="1"/>
    </xf>
    <xf numFmtId="0" fontId="25" fillId="0" borderId="0" xfId="752" applyFont="1" applyBorder="1" applyAlignment="1">
      <alignment horizontal="left"/>
    </xf>
    <xf numFmtId="170" fontId="21" fillId="3" borderId="0" xfId="3" applyNumberFormat="1" applyFont="1" applyFill="1" applyBorder="1" applyAlignment="1">
      <alignment horizontal="right"/>
    </xf>
    <xf numFmtId="164" fontId="21" fillId="3" borderId="0" xfId="752" applyNumberFormat="1" applyFont="1" applyFill="1" applyBorder="1" applyAlignment="1">
      <alignment horizontal="right"/>
    </xf>
    <xf numFmtId="0" fontId="20" fillId="3" borderId="2" xfId="752" applyFont="1" applyFill="1" applyBorder="1" applyAlignment="1">
      <alignment horizontal="left" wrapText="1"/>
    </xf>
    <xf numFmtId="0" fontId="20" fillId="3" borderId="2" xfId="752" applyFont="1" applyFill="1" applyBorder="1"/>
    <xf numFmtId="175" fontId="20" fillId="3" borderId="0" xfId="752" applyNumberFormat="1" applyFont="1" applyFill="1" applyBorder="1" applyAlignment="1">
      <alignment horizontal="right"/>
    </xf>
    <xf numFmtId="0" fontId="20" fillId="3" borderId="2" xfId="752" applyFont="1" applyFill="1" applyBorder="1" applyAlignment="1">
      <alignment wrapText="1"/>
    </xf>
    <xf numFmtId="0" fontId="34" fillId="6" borderId="1" xfId="0" applyNumberFormat="1" applyFont="1" applyFill="1" applyBorder="1" applyAlignment="1"/>
    <xf numFmtId="0" fontId="34" fillId="6" borderId="1" xfId="0" applyFont="1" applyFill="1" applyBorder="1"/>
    <xf numFmtId="0" fontId="34" fillId="6" borderId="0" xfId="0" applyFont="1" applyFill="1" applyBorder="1"/>
    <xf numFmtId="0" fontId="34" fillId="6" borderId="2" xfId="0" applyFont="1" applyFill="1" applyBorder="1"/>
    <xf numFmtId="9" fontId="29" fillId="6" borderId="0" xfId="0" applyNumberFormat="1" applyFont="1" applyFill="1"/>
    <xf numFmtId="9" fontId="39" fillId="6" borderId="0" xfId="0" applyNumberFormat="1" applyFont="1" applyFill="1" applyBorder="1"/>
    <xf numFmtId="42" fontId="11" fillId="6" borderId="1" xfId="634" applyNumberFormat="1" applyFont="1" applyFill="1" applyBorder="1"/>
    <xf numFmtId="42" fontId="11" fillId="6" borderId="2" xfId="634" applyNumberFormat="1" applyFont="1" applyFill="1" applyBorder="1"/>
    <xf numFmtId="42" fontId="11" fillId="6" borderId="0" xfId="634" applyNumberFormat="1" applyFont="1" applyFill="1" applyBorder="1"/>
    <xf numFmtId="42" fontId="11" fillId="3" borderId="1" xfId="634" applyNumberFormat="1" applyFont="1" applyFill="1" applyBorder="1"/>
    <xf numFmtId="42" fontId="11" fillId="3" borderId="2" xfId="634" applyNumberFormat="1" applyFont="1" applyFill="1" applyBorder="1"/>
    <xf numFmtId="42" fontId="11" fillId="3" borderId="0" xfId="634" applyNumberFormat="1" applyFont="1" applyFill="1" applyBorder="1"/>
    <xf numFmtId="0" fontId="20" fillId="6" borderId="0" xfId="752" applyFont="1" applyFill="1" applyBorder="1"/>
    <xf numFmtId="0" fontId="20" fillId="6" borderId="0" xfId="752" applyFont="1" applyFill="1" applyBorder="1" applyAlignment="1">
      <alignment horizontal="right"/>
    </xf>
    <xf numFmtId="0" fontId="14" fillId="6" borderId="1" xfId="0" applyFont="1" applyFill="1" applyBorder="1" applyAlignment="1">
      <alignment vertical="top"/>
    </xf>
    <xf numFmtId="0" fontId="14" fillId="6" borderId="0" xfId="0" applyFont="1" applyFill="1" applyBorder="1" applyAlignment="1">
      <alignment vertical="top"/>
    </xf>
    <xf numFmtId="0" fontId="14" fillId="6" borderId="2" xfId="0" applyFont="1" applyFill="1" applyBorder="1" applyAlignment="1">
      <alignment vertical="top"/>
    </xf>
    <xf numFmtId="3" fontId="14" fillId="6" borderId="1" xfId="0" applyNumberFormat="1" applyFont="1" applyFill="1" applyBorder="1" applyAlignment="1">
      <alignment vertical="top"/>
    </xf>
    <xf numFmtId="0" fontId="14" fillId="6" borderId="1" xfId="0" applyFont="1" applyFill="1" applyBorder="1" applyAlignment="1">
      <alignment vertical="top" wrapText="1"/>
    </xf>
    <xf numFmtId="10" fontId="14" fillId="6" borderId="0" xfId="0" applyNumberFormat="1" applyFont="1" applyFill="1" applyBorder="1" applyAlignment="1">
      <alignment vertical="top"/>
    </xf>
    <xf numFmtId="170" fontId="34" fillId="6" borderId="0" xfId="3" applyNumberFormat="1" applyFont="1" applyFill="1"/>
    <xf numFmtId="9" fontId="11" fillId="6" borderId="0" xfId="0" applyNumberFormat="1" applyFont="1" applyFill="1" applyBorder="1" applyAlignment="1"/>
    <xf numFmtId="9" fontId="11" fillId="6" borderId="0" xfId="0" applyNumberFormat="1" applyFont="1" applyFill="1" applyBorder="1"/>
    <xf numFmtId="166" fontId="34" fillId="6" borderId="2" xfId="6" applyNumberFormat="1" applyFont="1" applyFill="1" applyBorder="1"/>
    <xf numFmtId="0" fontId="11" fillId="6" borderId="0" xfId="0" applyFont="1" applyFill="1" applyBorder="1"/>
    <xf numFmtId="166" fontId="11" fillId="6" borderId="0" xfId="6" applyNumberFormat="1" applyFont="1" applyFill="1" applyBorder="1"/>
    <xf numFmtId="0" fontId="11" fillId="6" borderId="1" xfId="0" applyFont="1" applyFill="1" applyBorder="1"/>
    <xf numFmtId="166" fontId="11" fillId="6" borderId="1" xfId="6" applyNumberFormat="1" applyFont="1" applyFill="1" applyBorder="1"/>
    <xf numFmtId="0" fontId="11" fillId="6" borderId="2" xfId="0" applyFont="1" applyFill="1" applyBorder="1"/>
    <xf numFmtId="166" fontId="11" fillId="6" borderId="2" xfId="6" applyNumberFormat="1" applyFont="1" applyFill="1" applyBorder="1"/>
    <xf numFmtId="174" fontId="11" fillId="6" borderId="1" xfId="0" applyNumberFormat="1" applyFont="1" applyFill="1" applyBorder="1"/>
    <xf numFmtId="174" fontId="11" fillId="6" borderId="0" xfId="0" applyNumberFormat="1" applyFont="1" applyFill="1" applyBorder="1"/>
    <xf numFmtId="174" fontId="11" fillId="6" borderId="2" xfId="0" applyNumberFormat="1" applyFont="1" applyFill="1" applyBorder="1"/>
    <xf numFmtId="173" fontId="11" fillId="6" borderId="1" xfId="0" applyNumberFormat="1" applyFont="1" applyFill="1" applyBorder="1"/>
    <xf numFmtId="173" fontId="11" fillId="6" borderId="0" xfId="0" applyNumberFormat="1" applyFont="1" applyFill="1" applyBorder="1"/>
    <xf numFmtId="173" fontId="11" fillId="6" borderId="2" xfId="0" applyNumberFormat="1" applyFont="1" applyFill="1" applyBorder="1"/>
    <xf numFmtId="0" fontId="31" fillId="6" borderId="13" xfId="0" applyFont="1" applyFill="1" applyBorder="1"/>
    <xf numFmtId="167" fontId="11" fillId="6" borderId="5" xfId="97" applyNumberFormat="1" applyFont="1" applyFill="1" applyBorder="1" applyAlignment="1"/>
    <xf numFmtId="167" fontId="11" fillId="6" borderId="1" xfId="97" applyNumberFormat="1" applyFont="1" applyFill="1" applyBorder="1" applyAlignment="1"/>
    <xf numFmtId="167" fontId="11" fillId="6" borderId="6" xfId="97" applyNumberFormat="1" applyFont="1" applyFill="1" applyBorder="1" applyAlignment="1"/>
    <xf numFmtId="169" fontId="11" fillId="6" borderId="9" xfId="6" applyNumberFormat="1" applyFont="1" applyFill="1" applyBorder="1" applyAlignment="1"/>
    <xf numFmtId="169" fontId="11" fillId="6" borderId="0" xfId="6" applyNumberFormat="1" applyFont="1" applyFill="1" applyBorder="1" applyAlignment="1"/>
    <xf numFmtId="169" fontId="11" fillId="6" borderId="8" xfId="6" applyNumberFormat="1" applyFont="1" applyFill="1" applyBorder="1" applyAlignment="1"/>
    <xf numFmtId="169" fontId="11" fillId="6" borderId="11" xfId="6" applyNumberFormat="1" applyFont="1" applyFill="1" applyBorder="1" applyAlignment="1"/>
    <xf numFmtId="169" fontId="11" fillId="6" borderId="2" xfId="6" applyNumberFormat="1" applyFont="1" applyFill="1" applyBorder="1" applyAlignment="1"/>
    <xf numFmtId="169" fontId="11" fillId="6" borderId="12" xfId="6" applyNumberFormat="1" applyFont="1" applyFill="1" applyBorder="1" applyAlignment="1"/>
    <xf numFmtId="169" fontId="11" fillId="6" borderId="11" xfId="97" applyNumberFormat="1" applyFont="1" applyFill="1" applyBorder="1" applyAlignment="1"/>
    <xf numFmtId="0" fontId="11" fillId="6" borderId="0" xfId="0" applyNumberFormat="1" applyFont="1" applyFill="1" applyBorder="1" applyAlignment="1"/>
    <xf numFmtId="0" fontId="0" fillId="6" borderId="4" xfId="0" applyFill="1" applyBorder="1"/>
    <xf numFmtId="0" fontId="0" fillId="6" borderId="10" xfId="0" applyFill="1" applyBorder="1"/>
    <xf numFmtId="170" fontId="0" fillId="6" borderId="4" xfId="0" applyNumberFormat="1" applyFill="1" applyBorder="1"/>
    <xf numFmtId="170" fontId="0" fillId="6" borderId="7" xfId="0" applyNumberFormat="1" applyFill="1" applyBorder="1"/>
    <xf numFmtId="170" fontId="0" fillId="6" borderId="10" xfId="0" applyNumberFormat="1" applyFill="1" applyBorder="1"/>
    <xf numFmtId="3" fontId="14" fillId="3" borderId="2" xfId="0" applyNumberFormat="1" applyFont="1" applyFill="1" applyBorder="1" applyAlignment="1">
      <alignment vertical="top"/>
    </xf>
    <xf numFmtId="0" fontId="29" fillId="0" borderId="2" xfId="0" applyFont="1" applyBorder="1"/>
    <xf numFmtId="0" fontId="27" fillId="3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center" vertical="top" wrapText="1"/>
    </xf>
    <xf numFmtId="167" fontId="28" fillId="3" borderId="1" xfId="97" applyNumberFormat="1" applyFont="1" applyFill="1" applyBorder="1" applyAlignment="1">
      <alignment horizontal="center" vertical="top" wrapText="1"/>
    </xf>
    <xf numFmtId="172" fontId="28" fillId="3" borderId="1" xfId="0" applyNumberFormat="1" applyFont="1" applyFill="1" applyBorder="1" applyAlignment="1">
      <alignment horizontal="center" vertical="top" wrapText="1"/>
    </xf>
    <xf numFmtId="167" fontId="28" fillId="3" borderId="0" xfId="97" applyNumberFormat="1" applyFont="1" applyFill="1" applyBorder="1" applyAlignment="1">
      <alignment horizontal="center" vertical="top" wrapText="1"/>
    </xf>
    <xf numFmtId="172" fontId="28" fillId="3" borderId="0" xfId="0" applyNumberFormat="1" applyFont="1" applyFill="1" applyBorder="1" applyAlignment="1">
      <alignment horizontal="center" vertical="top" wrapText="1"/>
    </xf>
    <xf numFmtId="167" fontId="28" fillId="3" borderId="2" xfId="97" applyNumberFormat="1" applyFont="1" applyFill="1" applyBorder="1" applyAlignment="1">
      <alignment horizontal="center" vertical="top" wrapText="1"/>
    </xf>
    <xf numFmtId="172" fontId="28" fillId="3" borderId="2" xfId="0" applyNumberFormat="1" applyFont="1" applyFill="1" applyBorder="1" applyAlignment="1">
      <alignment horizontal="center" vertical="top" wrapText="1"/>
    </xf>
    <xf numFmtId="0" fontId="12" fillId="5" borderId="5" xfId="0" applyFont="1" applyFill="1" applyBorder="1"/>
    <xf numFmtId="0" fontId="44" fillId="5" borderId="0" xfId="0" applyFont="1" applyFill="1" applyBorder="1"/>
    <xf numFmtId="0" fontId="0" fillId="5" borderId="9" xfId="0" applyFont="1" applyFill="1" applyBorder="1"/>
    <xf numFmtId="0" fontId="13" fillId="6" borderId="0" xfId="0" applyFont="1" applyFill="1" applyBorder="1"/>
    <xf numFmtId="0" fontId="0" fillId="6" borderId="9" xfId="0" applyFill="1" applyBorder="1"/>
    <xf numFmtId="0" fontId="0" fillId="6" borderId="8" xfId="0" applyFill="1" applyBorder="1"/>
    <xf numFmtId="0" fontId="0" fillId="6" borderId="11" xfId="0" applyFill="1" applyBorder="1"/>
    <xf numFmtId="0" fontId="13" fillId="6" borderId="2" xfId="0" applyFont="1" applyFill="1" applyBorder="1"/>
    <xf numFmtId="0" fontId="0" fillId="6" borderId="12" xfId="0" applyFill="1" applyBorder="1"/>
    <xf numFmtId="0" fontId="0" fillId="5" borderId="0" xfId="0" applyFont="1" applyFill="1" applyBorder="1"/>
    <xf numFmtId="9" fontId="11" fillId="6" borderId="14" xfId="3" applyFont="1" applyFill="1" applyBorder="1" applyAlignment="1"/>
    <xf numFmtId="9" fontId="11" fillId="6" borderId="3" xfId="3" applyFont="1" applyFill="1" applyBorder="1" applyAlignment="1"/>
    <xf numFmtId="9" fontId="11" fillId="6" borderId="15" xfId="3" applyFont="1" applyFill="1" applyBorder="1" applyAlignment="1"/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2"/>
    </xf>
    <xf numFmtId="0" fontId="11" fillId="0" borderId="1" xfId="0" applyFont="1" applyBorder="1" applyAlignment="1">
      <alignment horizontal="left" indent="1"/>
    </xf>
    <xf numFmtId="0" fontId="11" fillId="0" borderId="1" xfId="0" applyNumberFormat="1" applyFont="1" applyBorder="1" applyAlignment="1"/>
    <xf numFmtId="0" fontId="11" fillId="0" borderId="1" xfId="0" applyFont="1" applyBorder="1" applyAlignment="1"/>
    <xf numFmtId="0" fontId="11" fillId="0" borderId="2" xfId="0" applyFont="1" applyBorder="1" applyAlignment="1">
      <alignment horizontal="left" indent="1"/>
    </xf>
    <xf numFmtId="166" fontId="10" fillId="0" borderId="0" xfId="0" applyNumberFormat="1" applyFont="1" applyBorder="1" applyAlignment="1"/>
    <xf numFmtId="175" fontId="10" fillId="0" borderId="0" xfId="0" applyNumberFormat="1" applyFont="1" applyBorder="1" applyAlignment="1"/>
    <xf numFmtId="0" fontId="10" fillId="0" borderId="2" xfId="0" applyFont="1" applyBorder="1" applyAlignment="1"/>
    <xf numFmtId="0" fontId="10" fillId="0" borderId="2" xfId="0" applyNumberFormat="1" applyFont="1" applyBorder="1" applyAlignment="1"/>
    <xf numFmtId="1" fontId="29" fillId="0" borderId="0" xfId="0" applyNumberFormat="1" applyFont="1"/>
    <xf numFmtId="0" fontId="2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23" fillId="0" borderId="4" xfId="0" applyFont="1" applyBorder="1" applyAlignment="1">
      <alignment vertical="top"/>
    </xf>
    <xf numFmtId="0" fontId="14" fillId="3" borderId="7" xfId="0" applyFont="1" applyFill="1" applyBorder="1" applyAlignment="1">
      <alignment vertical="top"/>
    </xf>
    <xf numFmtId="0" fontId="14" fillId="0" borderId="7" xfId="0" applyFont="1" applyBorder="1" applyAlignment="1">
      <alignment vertical="top"/>
    </xf>
    <xf numFmtId="0" fontId="23" fillId="0" borderId="7" xfId="0" applyFont="1" applyBorder="1" applyAlignment="1">
      <alignment vertical="top"/>
    </xf>
    <xf numFmtId="170" fontId="14" fillId="3" borderId="10" xfId="3" applyNumberFormat="1" applyFont="1" applyFill="1" applyBorder="1" applyAlignment="1">
      <alignment vertical="top"/>
    </xf>
    <xf numFmtId="170" fontId="43" fillId="0" borderId="0" xfId="3" applyNumberFormat="1" applyFont="1" applyFill="1" applyBorder="1"/>
    <xf numFmtId="166" fontId="34" fillId="6" borderId="0" xfId="6" applyNumberFormat="1" applyFont="1" applyFill="1" applyBorder="1" applyAlignment="1"/>
    <xf numFmtId="0" fontId="34" fillId="3" borderId="1" xfId="0" applyFont="1" applyFill="1" applyBorder="1"/>
    <xf numFmtId="0" fontId="35" fillId="0" borderId="0" xfId="0" applyFont="1"/>
    <xf numFmtId="1" fontId="20" fillId="6" borderId="0" xfId="752" applyNumberFormat="1" applyFont="1" applyFill="1" applyBorder="1"/>
    <xf numFmtId="1" fontId="20" fillId="6" borderId="0" xfId="752" applyNumberFormat="1" applyFont="1" applyFill="1" applyBorder="1" applyAlignment="1">
      <alignment horizontal="right"/>
    </xf>
    <xf numFmtId="166" fontId="20" fillId="3" borderId="0" xfId="752" applyNumberFormat="1" applyFont="1" applyFill="1" applyBorder="1" applyAlignment="1">
      <alignment horizontal="right"/>
    </xf>
    <xf numFmtId="0" fontId="11" fillId="0" borderId="0" xfId="6" applyNumberFormat="1" applyFont="1" applyFill="1" applyBorder="1" applyAlignment="1"/>
    <xf numFmtId="169" fontId="11" fillId="0" borderId="0" xfId="6" applyNumberFormat="1" applyFont="1" applyFill="1" applyBorder="1" applyAlignment="1"/>
    <xf numFmtId="9" fontId="11" fillId="0" borderId="0" xfId="3" applyFont="1" applyFill="1" applyBorder="1" applyAlignment="1"/>
    <xf numFmtId="9" fontId="20" fillId="0" borderId="0" xfId="752" applyNumberFormat="1" applyFont="1" applyBorder="1" applyAlignment="1"/>
    <xf numFmtId="175" fontId="20" fillId="0" borderId="1" xfId="6" applyNumberFormat="1" applyFont="1" applyBorder="1" applyAlignment="1">
      <alignment horizontal="right"/>
    </xf>
    <xf numFmtId="175" fontId="20" fillId="0" borderId="1" xfId="754" applyNumberFormat="1" applyFont="1" applyBorder="1" applyAlignment="1">
      <alignment horizontal="right"/>
    </xf>
    <xf numFmtId="175" fontId="20" fillId="0" borderId="0" xfId="6" applyNumberFormat="1" applyFont="1" applyBorder="1" applyAlignment="1">
      <alignment horizontal="right"/>
    </xf>
    <xf numFmtId="175" fontId="20" fillId="0" borderId="0" xfId="754" applyNumberFormat="1" applyFont="1" applyBorder="1" applyAlignment="1">
      <alignment horizontal="right"/>
    </xf>
    <xf numFmtId="175" fontId="20" fillId="0" borderId="2" xfId="754" applyNumberFormat="1" applyFont="1" applyBorder="1" applyAlignment="1">
      <alignment horizontal="right"/>
    </xf>
    <xf numFmtId="175" fontId="20" fillId="0" borderId="1" xfId="754" applyNumberFormat="1" applyFont="1" applyFill="1" applyBorder="1" applyAlignment="1">
      <alignment horizontal="right"/>
    </xf>
    <xf numFmtId="175" fontId="20" fillId="0" borderId="0" xfId="754" applyNumberFormat="1" applyFont="1" applyFill="1" applyBorder="1" applyAlignment="1">
      <alignment horizontal="right"/>
    </xf>
    <xf numFmtId="175" fontId="20" fillId="0" borderId="2" xfId="754" applyNumberFormat="1" applyFont="1" applyFill="1" applyBorder="1" applyAlignment="1">
      <alignment horizontal="right"/>
    </xf>
    <xf numFmtId="175" fontId="20" fillId="0" borderId="2" xfId="6" applyNumberFormat="1" applyFont="1" applyBorder="1" applyAlignment="1">
      <alignment horizontal="right"/>
    </xf>
    <xf numFmtId="0" fontId="29" fillId="0" borderId="0" xfId="0" applyFont="1" applyBorder="1" applyAlignment="1">
      <alignment horizontal="left" indent="1"/>
    </xf>
    <xf numFmtId="0" fontId="45" fillId="0" borderId="0" xfId="752" applyFont="1" applyBorder="1" applyAlignment="1">
      <alignment horizontal="left"/>
    </xf>
    <xf numFmtId="174" fontId="11" fillId="3" borderId="1" xfId="0" applyNumberFormat="1" applyFont="1" applyFill="1" applyBorder="1"/>
    <xf numFmtId="165" fontId="11" fillId="0" borderId="0" xfId="0" applyNumberFormat="1" applyFont="1"/>
    <xf numFmtId="167" fontId="11" fillId="0" borderId="0" xfId="0" applyNumberFormat="1" applyFont="1" applyBorder="1"/>
    <xf numFmtId="167" fontId="10" fillId="0" borderId="0" xfId="0" applyNumberFormat="1" applyFont="1" applyBorder="1"/>
    <xf numFmtId="41" fontId="20" fillId="0" borderId="0" xfId="752" applyNumberFormat="1" applyFont="1" applyBorder="1"/>
    <xf numFmtId="1" fontId="20" fillId="0" borderId="0" xfId="752" applyNumberFormat="1" applyFont="1" applyBorder="1"/>
    <xf numFmtId="175" fontId="10" fillId="3" borderId="3" xfId="0" applyNumberFormat="1" applyFont="1" applyFill="1" applyBorder="1"/>
    <xf numFmtId="166" fontId="11" fillId="3" borderId="13" xfId="6" applyNumberFormat="1" applyFont="1" applyFill="1" applyBorder="1" applyAlignment="1"/>
    <xf numFmtId="0" fontId="34" fillId="3" borderId="6" xfId="0" applyFont="1" applyFill="1" applyBorder="1"/>
    <xf numFmtId="0" fontId="34" fillId="3" borderId="0" xfId="0" applyFont="1" applyFill="1" applyBorder="1"/>
    <xf numFmtId="0" fontId="34" fillId="3" borderId="8" xfId="0" applyFont="1" applyFill="1" applyBorder="1"/>
    <xf numFmtId="0" fontId="35" fillId="0" borderId="14" xfId="0" applyFont="1" applyBorder="1"/>
    <xf numFmtId="0" fontId="35" fillId="0" borderId="3" xfId="0" applyFont="1" applyBorder="1"/>
    <xf numFmtId="0" fontId="35" fillId="0" borderId="15" xfId="0" applyFont="1" applyBorder="1"/>
    <xf numFmtId="0" fontId="35" fillId="3" borderId="14" xfId="0" applyFont="1" applyFill="1" applyBorder="1"/>
    <xf numFmtId="0" fontId="35" fillId="3" borderId="3" xfId="0" applyFont="1" applyFill="1" applyBorder="1"/>
    <xf numFmtId="0" fontId="35" fillId="3" borderId="15" xfId="0" applyFont="1" applyFill="1" applyBorder="1"/>
    <xf numFmtId="0" fontId="34" fillId="6" borderId="5" xfId="0" applyFont="1" applyFill="1" applyBorder="1"/>
    <xf numFmtId="0" fontId="34" fillId="6" borderId="6" xfId="0" applyFont="1" applyFill="1" applyBorder="1"/>
    <xf numFmtId="0" fontId="34" fillId="6" borderId="9" xfId="0" applyFont="1" applyFill="1" applyBorder="1"/>
    <xf numFmtId="0" fontId="34" fillId="6" borderId="8" xfId="0" applyFont="1" applyFill="1" applyBorder="1"/>
    <xf numFmtId="0" fontId="34" fillId="6" borderId="11" xfId="0" applyFont="1" applyFill="1" applyBorder="1"/>
    <xf numFmtId="0" fontId="34" fillId="6" borderId="12" xfId="0" applyFont="1" applyFill="1" applyBorder="1"/>
    <xf numFmtId="167" fontId="11" fillId="6" borderId="4" xfId="97" applyNumberFormat="1" applyFont="1" applyFill="1" applyBorder="1" applyAlignment="1"/>
    <xf numFmtId="0" fontId="11" fillId="6" borderId="7" xfId="0" applyNumberFormat="1" applyFont="1" applyFill="1" applyBorder="1" applyAlignment="1"/>
    <xf numFmtId="164" fontId="11" fillId="6" borderId="7" xfId="0" applyNumberFormat="1" applyFont="1" applyFill="1" applyBorder="1" applyAlignment="1"/>
    <xf numFmtId="166" fontId="11" fillId="6" borderId="4" xfId="6" applyNumberFormat="1" applyFont="1" applyFill="1" applyBorder="1" applyAlignment="1"/>
    <xf numFmtId="166" fontId="11" fillId="6" borderId="10" xfId="6" applyNumberFormat="1" applyFont="1" applyFill="1" applyBorder="1" applyAlignment="1"/>
    <xf numFmtId="0" fontId="11" fillId="6" borderId="5" xfId="0" applyNumberFormat="1" applyFont="1" applyFill="1" applyBorder="1" applyAlignment="1"/>
    <xf numFmtId="0" fontId="11" fillId="6" borderId="1" xfId="0" applyNumberFormat="1" applyFont="1" applyFill="1" applyBorder="1" applyAlignment="1"/>
    <xf numFmtId="0" fontId="11" fillId="6" borderId="6" xfId="0" applyFont="1" applyFill="1" applyBorder="1" applyAlignment="1"/>
    <xf numFmtId="0" fontId="11" fillId="6" borderId="9" xfId="0" applyNumberFormat="1" applyFont="1" applyFill="1" applyBorder="1" applyAlignment="1"/>
    <xf numFmtId="0" fontId="11" fillId="6" borderId="8" xfId="0" applyFont="1" applyFill="1" applyBorder="1" applyAlignment="1"/>
    <xf numFmtId="0" fontId="11" fillId="6" borderId="11" xfId="0" applyNumberFormat="1" applyFont="1" applyFill="1" applyBorder="1" applyAlignment="1"/>
    <xf numFmtId="0" fontId="11" fillId="6" borderId="2" xfId="0" applyNumberFormat="1" applyFont="1" applyFill="1" applyBorder="1" applyAlignment="1"/>
    <xf numFmtId="0" fontId="11" fillId="6" borderId="12" xfId="0" applyFont="1" applyFill="1" applyBorder="1" applyAlignment="1"/>
    <xf numFmtId="174" fontId="10" fillId="0" borderId="0" xfId="0" applyNumberFormat="1" applyFont="1" applyFill="1" applyBorder="1"/>
    <xf numFmtId="0" fontId="35" fillId="0" borderId="0" xfId="0" applyFont="1" applyAlignment="1">
      <alignment horizontal="right"/>
    </xf>
    <xf numFmtId="0" fontId="34" fillId="3" borderId="5" xfId="0" applyFont="1" applyFill="1" applyBorder="1" applyAlignment="1">
      <alignment horizontal="right"/>
    </xf>
    <xf numFmtId="0" fontId="34" fillId="3" borderId="9" xfId="0" applyFont="1" applyFill="1" applyBorder="1" applyAlignment="1">
      <alignment horizontal="right"/>
    </xf>
    <xf numFmtId="0" fontId="35" fillId="3" borderId="14" xfId="0" applyFont="1" applyFill="1" applyBorder="1" applyAlignment="1">
      <alignment horizontal="right"/>
    </xf>
    <xf numFmtId="0" fontId="11" fillId="0" borderId="9" xfId="0" applyFont="1" applyFill="1" applyBorder="1" applyAlignment="1"/>
    <xf numFmtId="0" fontId="38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0" fontId="35" fillId="0" borderId="0" xfId="0" applyFont="1" applyFill="1"/>
    <xf numFmtId="0" fontId="21" fillId="0" borderId="0" xfId="752" applyFont="1" applyFill="1" applyBorder="1" applyAlignment="1">
      <alignment horizontal="right"/>
    </xf>
    <xf numFmtId="164" fontId="21" fillId="0" borderId="0" xfId="752" applyNumberFormat="1" applyFont="1" applyFill="1" applyBorder="1" applyAlignment="1">
      <alignment horizontal="right"/>
    </xf>
    <xf numFmtId="0" fontId="25" fillId="0" borderId="0" xfId="752" applyFont="1" applyBorder="1"/>
    <xf numFmtId="0" fontId="17" fillId="6" borderId="0" xfId="752" applyFont="1" applyFill="1" applyBorder="1" applyAlignment="1">
      <alignment horizontal="right"/>
    </xf>
    <xf numFmtId="0" fontId="21" fillId="0" borderId="0" xfId="752" applyFont="1" applyFill="1" applyBorder="1" applyAlignment="1"/>
    <xf numFmtId="0" fontId="21" fillId="0" borderId="0" xfId="752" applyFont="1" applyFill="1" applyBorder="1"/>
    <xf numFmtId="176" fontId="17" fillId="0" borderId="1" xfId="0" applyNumberFormat="1" applyFont="1" applyBorder="1"/>
    <xf numFmtId="176" fontId="17" fillId="0" borderId="0" xfId="0" applyNumberFormat="1" applyFont="1" applyBorder="1"/>
    <xf numFmtId="176" fontId="16" fillId="0" borderId="0" xfId="0" applyNumberFormat="1" applyFont="1" applyBorder="1" applyAlignment="1">
      <alignment horizontal="right"/>
    </xf>
    <xf numFmtId="176" fontId="17" fillId="0" borderId="2" xfId="0" applyNumberFormat="1" applyFont="1" applyBorder="1"/>
    <xf numFmtId="176" fontId="16" fillId="0" borderId="0" xfId="0" applyNumberFormat="1" applyFont="1" applyBorder="1" applyAlignment="1">
      <alignment horizontal="right" vertical="center"/>
    </xf>
    <xf numFmtId="0" fontId="34" fillId="3" borderId="5" xfId="0" applyFont="1" applyFill="1" applyBorder="1"/>
    <xf numFmtId="0" fontId="34" fillId="3" borderId="9" xfId="0" applyFont="1" applyFill="1" applyBorder="1"/>
    <xf numFmtId="0" fontId="34" fillId="3" borderId="11" xfId="0" applyFont="1" applyFill="1" applyBorder="1"/>
    <xf numFmtId="0" fontId="34" fillId="3" borderId="2" xfId="0" applyFont="1" applyFill="1" applyBorder="1"/>
    <xf numFmtId="0" fontId="34" fillId="3" borderId="12" xfId="0" applyFont="1" applyFill="1" applyBorder="1"/>
    <xf numFmtId="166" fontId="46" fillId="0" borderId="1" xfId="0" applyNumberFormat="1" applyFont="1" applyBorder="1"/>
    <xf numFmtId="0" fontId="46" fillId="0" borderId="0" xfId="0" applyFont="1" applyBorder="1"/>
    <xf numFmtId="0" fontId="46" fillId="0" borderId="2" xfId="0" applyFont="1" applyBorder="1"/>
    <xf numFmtId="0" fontId="47" fillId="0" borderId="2" xfId="0" applyFont="1" applyBorder="1"/>
    <xf numFmtId="0" fontId="16" fillId="0" borderId="0" xfId="0" applyFont="1" applyFill="1" applyBorder="1"/>
    <xf numFmtId="0" fontId="34" fillId="0" borderId="0" xfId="0" applyFont="1" applyFill="1" applyBorder="1" applyAlignment="1"/>
    <xf numFmtId="0" fontId="34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/>
    <xf numFmtId="0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6" fontId="34" fillId="0" borderId="0" xfId="6" applyNumberFormat="1" applyFont="1"/>
    <xf numFmtId="0" fontId="35" fillId="3" borderId="0" xfId="0" applyFont="1" applyFill="1"/>
    <xf numFmtId="170" fontId="34" fillId="3" borderId="0" xfId="3" applyNumberFormat="1" applyFont="1" applyFill="1"/>
    <xf numFmtId="166" fontId="35" fillId="3" borderId="0" xfId="6" applyNumberFormat="1" applyFont="1" applyFill="1" applyAlignment="1">
      <alignment horizontal="right"/>
    </xf>
    <xf numFmtId="166" fontId="34" fillId="3" borderId="0" xfId="6" applyNumberFormat="1" applyFont="1" applyFill="1"/>
    <xf numFmtId="166" fontId="35" fillId="3" borderId="0" xfId="6" applyNumberFormat="1" applyFont="1" applyFill="1"/>
    <xf numFmtId="170" fontId="34" fillId="0" borderId="0" xfId="3" applyNumberFormat="1" applyFont="1" applyFill="1"/>
    <xf numFmtId="166" fontId="35" fillId="0" borderId="0" xfId="6" applyNumberFormat="1" applyFont="1" applyFill="1"/>
    <xf numFmtId="166" fontId="34" fillId="0" borderId="0" xfId="6" applyNumberFormat="1" applyFont="1" applyFill="1"/>
    <xf numFmtId="0" fontId="48" fillId="3" borderId="3" xfId="824" applyFont="1" applyFill="1" applyBorder="1" applyAlignment="1">
      <alignment horizontal="left" vertical="center" wrapText="1"/>
    </xf>
    <xf numFmtId="0" fontId="34" fillId="0" borderId="1" xfId="0" applyFont="1" applyBorder="1"/>
    <xf numFmtId="43" fontId="20" fillId="0" borderId="1" xfId="97" applyFont="1" applyFill="1" applyBorder="1" applyAlignment="1">
      <alignment horizontal="left" vertical="top" wrapText="1" indent="2"/>
    </xf>
    <xf numFmtId="168" fontId="20" fillId="3" borderId="1" xfId="824" applyNumberFormat="1" applyFont="1" applyFill="1" applyBorder="1" applyAlignment="1">
      <alignment vertical="top" wrapText="1"/>
    </xf>
    <xf numFmtId="168" fontId="20" fillId="0" borderId="1" xfId="824" applyNumberFormat="1" applyFont="1" applyFill="1" applyBorder="1" applyAlignment="1">
      <alignment horizontal="left" vertical="top" wrapText="1" indent="2"/>
    </xf>
    <xf numFmtId="43" fontId="20" fillId="0" borderId="0" xfId="97" applyFont="1" applyFill="1" applyBorder="1" applyAlignment="1">
      <alignment horizontal="left" vertical="top" wrapText="1" indent="2"/>
    </xf>
    <xf numFmtId="168" fontId="20" fillId="3" borderId="0" xfId="824" applyNumberFormat="1" applyFont="1" applyFill="1" applyBorder="1" applyAlignment="1">
      <alignment vertical="top" wrapText="1"/>
    </xf>
    <xf numFmtId="0" fontId="35" fillId="0" borderId="0" xfId="0" applyFont="1" applyBorder="1"/>
    <xf numFmtId="0" fontId="43" fillId="0" borderId="0" xfId="0" applyFont="1" applyBorder="1"/>
    <xf numFmtId="0" fontId="43" fillId="0" borderId="0" xfId="0" applyFont="1"/>
    <xf numFmtId="168" fontId="20" fillId="0" borderId="0" xfId="824" applyNumberFormat="1" applyFont="1" applyFill="1" applyBorder="1" applyAlignment="1">
      <alignment vertical="top" wrapText="1"/>
    </xf>
    <xf numFmtId="0" fontId="35" fillId="3" borderId="0" xfId="0" applyFont="1" applyFill="1" applyBorder="1"/>
    <xf numFmtId="166" fontId="34" fillId="3" borderId="0" xfId="0" applyNumberFormat="1" applyFont="1" applyFill="1" applyBorder="1"/>
    <xf numFmtId="175" fontId="34" fillId="3" borderId="0" xfId="0" applyNumberFormat="1" applyFont="1" applyFill="1" applyBorder="1"/>
    <xf numFmtId="167" fontId="14" fillId="0" borderId="0" xfId="97" applyNumberFormat="1" applyFont="1" applyBorder="1"/>
    <xf numFmtId="167" fontId="14" fillId="0" borderId="0" xfId="97" applyNumberFormat="1" applyFont="1" applyFill="1" applyBorder="1"/>
    <xf numFmtId="167" fontId="11" fillId="0" borderId="0" xfId="97" applyNumberFormat="1" applyFont="1" applyBorder="1" applyAlignment="1"/>
    <xf numFmtId="165" fontId="11" fillId="0" borderId="0" xfId="0" applyNumberFormat="1" applyFont="1" applyBorder="1"/>
    <xf numFmtId="2" fontId="11" fillId="0" borderId="0" xfId="0" applyNumberFormat="1" applyFont="1" applyBorder="1"/>
    <xf numFmtId="43" fontId="11" fillId="0" borderId="0" xfId="97" applyFont="1" applyBorder="1"/>
    <xf numFmtId="44" fontId="11" fillId="0" borderId="0" xfId="6" applyFont="1" applyBorder="1"/>
    <xf numFmtId="0" fontId="0" fillId="0" borderId="1" xfId="0" applyBorder="1"/>
    <xf numFmtId="167" fontId="0" fillId="0" borderId="1" xfId="887" applyNumberFormat="1" applyFont="1" applyBorder="1"/>
    <xf numFmtId="43" fontId="0" fillId="0" borderId="0" xfId="887" applyFont="1" applyBorder="1"/>
    <xf numFmtId="167" fontId="0" fillId="0" borderId="0" xfId="887" applyNumberFormat="1" applyFont="1" applyBorder="1"/>
    <xf numFmtId="0" fontId="0" fillId="0" borderId="2" xfId="0" applyBorder="1"/>
    <xf numFmtId="44" fontId="0" fillId="0" borderId="2" xfId="888" applyFont="1" applyBorder="1"/>
    <xf numFmtId="166" fontId="12" fillId="0" borderId="0" xfId="888" applyNumberFormat="1" applyFont="1"/>
    <xf numFmtId="0" fontId="0" fillId="0" borderId="0" xfId="0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0" fontId="0" fillId="3" borderId="4" xfId="0" applyFill="1" applyBorder="1"/>
    <xf numFmtId="0" fontId="0" fillId="0" borderId="9" xfId="0" applyBorder="1"/>
    <xf numFmtId="166" fontId="0" fillId="0" borderId="0" xfId="0" applyNumberFormat="1" applyBorder="1"/>
    <xf numFmtId="166" fontId="0" fillId="0" borderId="7" xfId="0" applyNumberFormat="1" applyBorder="1"/>
    <xf numFmtId="0" fontId="0" fillId="0" borderId="11" xfId="0" applyBorder="1"/>
    <xf numFmtId="166" fontId="0" fillId="0" borderId="2" xfId="0" applyNumberFormat="1" applyBorder="1"/>
    <xf numFmtId="166" fontId="0" fillId="0" borderId="10" xfId="0" applyNumberFormat="1" applyBorder="1"/>
    <xf numFmtId="0" fontId="0" fillId="0" borderId="0" xfId="0" quotePrefix="1"/>
    <xf numFmtId="0" fontId="0" fillId="0" borderId="8" xfId="0" applyBorder="1"/>
    <xf numFmtId="2" fontId="0" fillId="0" borderId="2" xfId="0" applyNumberFormat="1" applyBorder="1"/>
    <xf numFmtId="2" fontId="0" fillId="0" borderId="12" xfId="0" applyNumberFormat="1" applyBorder="1"/>
    <xf numFmtId="0" fontId="12" fillId="3" borderId="0" xfId="0" applyFont="1" applyFill="1"/>
    <xf numFmtId="0" fontId="0" fillId="3" borderId="14" xfId="0" applyFill="1" applyBorder="1"/>
    <xf numFmtId="0" fontId="0" fillId="3" borderId="3" xfId="0" applyFill="1" applyBorder="1"/>
    <xf numFmtId="0" fontId="0" fillId="3" borderId="15" xfId="0" applyFill="1" applyBorder="1"/>
    <xf numFmtId="4" fontId="17" fillId="0" borderId="5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7" fillId="0" borderId="6" xfId="0" applyNumberFormat="1" applyFont="1" applyBorder="1" applyAlignment="1">
      <alignment horizontal="center"/>
    </xf>
    <xf numFmtId="4" fontId="17" fillId="0" borderId="9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8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17" fillId="0" borderId="2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170" fontId="15" fillId="0" borderId="0" xfId="0" applyNumberFormat="1" applyFont="1" applyFill="1" applyBorder="1"/>
    <xf numFmtId="0" fontId="18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76" fontId="17" fillId="0" borderId="0" xfId="0" applyNumberFormat="1" applyFont="1"/>
    <xf numFmtId="0" fontId="36" fillId="3" borderId="5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17" fillId="3" borderId="5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</cellXfs>
  <cellStyles count="935">
    <cellStyle name="Comma" xfId="97" builtinId="3"/>
    <cellStyle name="Comma 2" xfId="673"/>
    <cellStyle name="Comma 3" xfId="753"/>
    <cellStyle name="Comma 4" xfId="834"/>
    <cellStyle name="Comma 5" xfId="887"/>
    <cellStyle name="Currency" xfId="6" builtinId="4"/>
    <cellStyle name="Currency 2" xfId="634"/>
    <cellStyle name="Currency 3" xfId="754"/>
    <cellStyle name="Currency 4" xfId="833"/>
    <cellStyle name="Currency 5" xfId="888"/>
    <cellStyle name="Followed Hyperlink" xfId="2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Hyperlink" xfId="1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Normal" xfId="0" builtinId="0"/>
    <cellStyle name="Normal 2" xfId="635"/>
    <cellStyle name="Normal 3" xfId="752"/>
    <cellStyle name="Normal 4" xfId="824"/>
    <cellStyle name="Percent" xfId="3" builtinId="5"/>
    <cellStyle name="Percent 2" xfId="636"/>
    <cellStyle name="Percent 3" xfId="755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Layout" workbookViewId="0">
      <selection activeCell="A20" sqref="A20"/>
    </sheetView>
  </sheetViews>
  <sheetFormatPr defaultColWidth="11" defaultRowHeight="15.75" x14ac:dyDescent="0.25"/>
  <cols>
    <col min="1" max="1" width="22.5" style="3" bestFit="1" customWidth="1"/>
    <col min="2" max="2" width="18.875" customWidth="1"/>
    <col min="3" max="3" width="7" bestFit="1" customWidth="1"/>
    <col min="4" max="4" width="8.5" customWidth="1"/>
    <col min="5" max="7" width="9.125" customWidth="1"/>
  </cols>
  <sheetData>
    <row r="1" spans="1:7" s="116" customFormat="1" ht="38.1" customHeight="1" x14ac:dyDescent="0.3">
      <c r="A1" s="484" t="s">
        <v>217</v>
      </c>
      <c r="B1" s="485"/>
      <c r="C1" s="485"/>
      <c r="D1" s="485"/>
      <c r="E1" s="485"/>
      <c r="F1" s="485"/>
      <c r="G1" s="486"/>
    </row>
    <row r="2" spans="1:7" x14ac:dyDescent="0.25">
      <c r="A2" s="130" t="s">
        <v>218</v>
      </c>
      <c r="B2" s="128"/>
      <c r="C2" s="128"/>
      <c r="D2" s="128"/>
      <c r="E2" s="128"/>
      <c r="F2" s="128"/>
      <c r="G2" s="129"/>
    </row>
    <row r="3" spans="1:7" s="116" customFormat="1" ht="18.75" x14ac:dyDescent="0.3">
      <c r="A3" s="290" t="s">
        <v>179</v>
      </c>
      <c r="B3" s="117" t="s">
        <v>80</v>
      </c>
      <c r="C3" s="117"/>
      <c r="D3" s="117"/>
      <c r="E3" s="118"/>
      <c r="F3" s="118"/>
      <c r="G3" s="119"/>
    </row>
    <row r="4" spans="1:7" x14ac:dyDescent="0.25">
      <c r="A4" s="120" t="s">
        <v>117</v>
      </c>
      <c r="B4" s="121" t="s">
        <v>82</v>
      </c>
      <c r="C4" s="275">
        <v>2016</v>
      </c>
      <c r="D4" s="291" t="s">
        <v>181</v>
      </c>
      <c r="E4" s="121"/>
      <c r="F4" s="121"/>
      <c r="G4" s="122"/>
    </row>
    <row r="5" spans="1:7" s="3" customFormat="1" x14ac:dyDescent="0.25">
      <c r="A5" s="120"/>
      <c r="B5" s="121" t="s">
        <v>83</v>
      </c>
      <c r="C5" s="276">
        <v>2066</v>
      </c>
      <c r="D5" s="291" t="s">
        <v>221</v>
      </c>
      <c r="E5" s="123"/>
      <c r="F5" s="123"/>
      <c r="G5" s="124"/>
    </row>
    <row r="6" spans="1:7" x14ac:dyDescent="0.25">
      <c r="A6" s="120"/>
      <c r="B6" s="123" t="s">
        <v>81</v>
      </c>
      <c r="C6" s="123">
        <f>C5-C4</f>
        <v>50</v>
      </c>
      <c r="D6" s="123" t="s">
        <v>84</v>
      </c>
      <c r="E6" s="121"/>
      <c r="F6" s="121"/>
      <c r="G6" s="122"/>
    </row>
    <row r="7" spans="1:7" x14ac:dyDescent="0.25">
      <c r="A7" s="120"/>
      <c r="B7" s="121"/>
      <c r="C7" s="121"/>
      <c r="D7" s="121"/>
      <c r="E7" s="121"/>
      <c r="F7" s="121"/>
      <c r="G7" s="122"/>
    </row>
    <row r="8" spans="1:7" s="3" customFormat="1" x14ac:dyDescent="0.25">
      <c r="A8" s="120"/>
      <c r="B8" s="123" t="s">
        <v>116</v>
      </c>
      <c r="C8" s="123"/>
      <c r="D8" s="123"/>
      <c r="E8" s="123"/>
      <c r="F8" s="123"/>
      <c r="G8" s="124"/>
    </row>
    <row r="9" spans="1:7" x14ac:dyDescent="0.25">
      <c r="A9" s="120"/>
      <c r="B9" s="121" t="s">
        <v>6</v>
      </c>
      <c r="C9" s="277">
        <v>0</v>
      </c>
      <c r="D9" s="121"/>
      <c r="E9" s="121"/>
      <c r="F9" s="121"/>
      <c r="G9" s="122"/>
    </row>
    <row r="10" spans="1:7" x14ac:dyDescent="0.25">
      <c r="A10" s="120"/>
      <c r="B10" s="121" t="s">
        <v>4</v>
      </c>
      <c r="C10" s="278">
        <v>3.3750000000000002E-2</v>
      </c>
      <c r="D10" s="121" t="s">
        <v>121</v>
      </c>
      <c r="E10" s="121"/>
      <c r="F10" s="121"/>
      <c r="G10" s="122"/>
    </row>
    <row r="11" spans="1:7" x14ac:dyDescent="0.25">
      <c r="A11" s="120"/>
      <c r="B11" s="121" t="s">
        <v>5</v>
      </c>
      <c r="C11" s="279">
        <v>0.05</v>
      </c>
      <c r="D11" s="121"/>
      <c r="E11" s="121"/>
      <c r="F11" s="121"/>
      <c r="G11" s="122"/>
    </row>
    <row r="12" spans="1:7" x14ac:dyDescent="0.25">
      <c r="A12" s="120"/>
      <c r="B12" s="121"/>
      <c r="C12" s="121"/>
      <c r="D12" s="121"/>
      <c r="E12" s="121"/>
      <c r="F12" s="121"/>
      <c r="G12" s="122"/>
    </row>
    <row r="13" spans="1:7" x14ac:dyDescent="0.25">
      <c r="A13" s="120" t="s">
        <v>205</v>
      </c>
      <c r="B13" s="121"/>
      <c r="C13" s="121"/>
      <c r="D13" s="121"/>
      <c r="E13" s="299"/>
      <c r="F13" s="121"/>
      <c r="G13" s="122"/>
    </row>
    <row r="14" spans="1:7" x14ac:dyDescent="0.25">
      <c r="A14" s="292"/>
      <c r="B14" s="126" t="s">
        <v>222</v>
      </c>
      <c r="C14" s="126"/>
      <c r="D14" s="126"/>
      <c r="E14" s="121"/>
      <c r="F14" s="121"/>
      <c r="G14" s="122"/>
    </row>
    <row r="15" spans="1:7" x14ac:dyDescent="0.25">
      <c r="A15" s="292" t="s">
        <v>206</v>
      </c>
      <c r="B15" s="294" t="s">
        <v>220</v>
      </c>
      <c r="C15" s="293"/>
      <c r="D15" s="295"/>
      <c r="E15" s="121"/>
      <c r="F15" s="121"/>
      <c r="G15" s="122"/>
    </row>
    <row r="16" spans="1:7" x14ac:dyDescent="0.25">
      <c r="A16" s="292" t="s">
        <v>207</v>
      </c>
      <c r="B16" s="296" t="s">
        <v>273</v>
      </c>
      <c r="C16" s="297"/>
      <c r="D16" s="298"/>
      <c r="E16" s="121"/>
      <c r="F16" s="121"/>
      <c r="G16" s="122"/>
    </row>
    <row r="17" spans="1:7" x14ac:dyDescent="0.25">
      <c r="A17" s="120"/>
      <c r="B17" s="121"/>
      <c r="C17" s="121"/>
      <c r="D17" s="121"/>
      <c r="E17" s="121"/>
      <c r="F17" s="121"/>
      <c r="G17" s="122"/>
    </row>
    <row r="18" spans="1:7" x14ac:dyDescent="0.25">
      <c r="A18" s="125"/>
      <c r="B18" s="126"/>
      <c r="C18" s="126"/>
      <c r="D18" s="126"/>
      <c r="E18" s="126"/>
      <c r="F18" s="126"/>
      <c r="G18" s="127"/>
    </row>
  </sheetData>
  <mergeCells count="1">
    <mergeCell ref="A1:G1"/>
  </mergeCells>
  <phoneticPr fontId="33" type="noConversion"/>
  <pageMargins left="0.7" right="0.7" top="0.75" bottom="0.75" header="0.3" footer="0.3"/>
  <pageSetup orientation="portrait" r:id="rId1"/>
  <headerFooter>
    <oddFooter>&amp;LSheet 1: Project Assumptions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75" zoomScaleNormal="75" zoomScalePageLayoutView="75" workbookViewId="0">
      <selection activeCell="J20" sqref="J20:L22"/>
    </sheetView>
  </sheetViews>
  <sheetFormatPr defaultColWidth="10.875" defaultRowHeight="12.75" x14ac:dyDescent="0.2"/>
  <cols>
    <col min="1" max="1" width="26.875" style="22" bestFit="1" customWidth="1"/>
    <col min="2" max="2" width="7.125" style="22" customWidth="1"/>
    <col min="3" max="3" width="7" style="22" customWidth="1"/>
    <col min="4" max="7" width="7.125" style="22" customWidth="1"/>
    <col min="8" max="8" width="4" style="22" customWidth="1"/>
    <col min="9" max="9" width="26.875" style="22" customWidth="1"/>
    <col min="10" max="15" width="7.125" style="22" customWidth="1"/>
    <col min="16" max="16384" width="10.875" style="21"/>
  </cols>
  <sheetData>
    <row r="1" spans="1:20" s="18" customFormat="1" ht="15.75" x14ac:dyDescent="0.25">
      <c r="A1" s="17" t="str">
        <f>Project_Master!B14</f>
        <v>FC 1.0/No Action</v>
      </c>
      <c r="B1" s="17"/>
      <c r="C1" s="17"/>
      <c r="D1" s="17"/>
      <c r="E1" s="17"/>
      <c r="F1" s="17"/>
      <c r="G1" s="17"/>
      <c r="H1" s="17"/>
      <c r="I1" s="17" t="str">
        <f>Project_Master!$B$15</f>
        <v>FC 2.0</v>
      </c>
      <c r="J1" s="17"/>
      <c r="K1" s="17"/>
      <c r="L1" s="17"/>
      <c r="M1" s="17"/>
      <c r="N1" s="17"/>
      <c r="O1" s="17"/>
    </row>
    <row r="3" spans="1:20" s="20" customFormat="1" x14ac:dyDescent="0.2">
      <c r="A3" s="183" t="s">
        <v>13</v>
      </c>
      <c r="B3" s="490" t="s">
        <v>6</v>
      </c>
      <c r="C3" s="491"/>
      <c r="D3" s="490" t="s">
        <v>4</v>
      </c>
      <c r="E3" s="491"/>
      <c r="F3" s="490" t="s">
        <v>5</v>
      </c>
      <c r="G3" s="491"/>
      <c r="H3" s="19"/>
      <c r="I3" s="183" t="s">
        <v>13</v>
      </c>
      <c r="J3" s="490" t="s">
        <v>6</v>
      </c>
      <c r="K3" s="491"/>
      <c r="L3" s="490" t="s">
        <v>4</v>
      </c>
      <c r="M3" s="491"/>
      <c r="N3" s="490" t="s">
        <v>5</v>
      </c>
      <c r="O3" s="491"/>
    </row>
    <row r="4" spans="1:20" x14ac:dyDescent="0.2">
      <c r="A4" s="27" t="s">
        <v>148</v>
      </c>
      <c r="B4" s="187" t="s">
        <v>14</v>
      </c>
      <c r="C4" s="187" t="s">
        <v>15</v>
      </c>
      <c r="D4" s="187" t="s">
        <v>14</v>
      </c>
      <c r="E4" s="187" t="s">
        <v>15</v>
      </c>
      <c r="F4" s="187" t="s">
        <v>14</v>
      </c>
      <c r="G4" s="187" t="s">
        <v>15</v>
      </c>
      <c r="I4" s="27" t="s">
        <v>148</v>
      </c>
      <c r="J4" s="190" t="s">
        <v>14</v>
      </c>
      <c r="K4" s="190" t="s">
        <v>15</v>
      </c>
      <c r="L4" s="190" t="s">
        <v>14</v>
      </c>
      <c r="M4" s="190" t="s">
        <v>15</v>
      </c>
      <c r="N4" s="190" t="s">
        <v>14</v>
      </c>
      <c r="O4" s="190" t="s">
        <v>15</v>
      </c>
    </row>
    <row r="5" spans="1:20" x14ac:dyDescent="0.2">
      <c r="A5" s="23" t="s">
        <v>147</v>
      </c>
      <c r="B5" s="396">
        <v>2.4116058000000002</v>
      </c>
      <c r="C5" s="396">
        <v>67.201812916054237</v>
      </c>
      <c r="D5" s="396">
        <v>2.6795620000000002</v>
      </c>
      <c r="E5" s="396">
        <v>74.668681017838026</v>
      </c>
      <c r="F5" s="396">
        <v>3.4834306000000002</v>
      </c>
      <c r="G5" s="396">
        <v>97.069285323189433</v>
      </c>
      <c r="H5" s="28"/>
      <c r="I5" s="23" t="s">
        <v>147</v>
      </c>
      <c r="J5" s="396">
        <v>2.4116058000000002</v>
      </c>
      <c r="K5" s="396">
        <v>67.201812916054237</v>
      </c>
      <c r="L5" s="396">
        <v>2.6795620000000002</v>
      </c>
      <c r="M5" s="396">
        <v>74.668681017838026</v>
      </c>
      <c r="N5" s="396">
        <v>3.4834306000000002</v>
      </c>
      <c r="O5" s="396">
        <v>97.069285323189433</v>
      </c>
      <c r="P5" s="483"/>
      <c r="Q5" s="483"/>
    </row>
    <row r="6" spans="1:20" x14ac:dyDescent="0.2">
      <c r="A6" s="189" t="s">
        <v>243</v>
      </c>
      <c r="B6" s="397">
        <v>1.6957693145454542</v>
      </c>
      <c r="C6" s="397">
        <v>47.254311722450296</v>
      </c>
      <c r="D6" s="397">
        <v>1.884188127272727</v>
      </c>
      <c r="E6" s="397">
        <v>52.504790802722553</v>
      </c>
      <c r="F6" s="397">
        <v>2.07260694</v>
      </c>
      <c r="G6" s="397">
        <v>57.755269882994817</v>
      </c>
      <c r="H6" s="28"/>
      <c r="I6" s="189" t="s">
        <v>243</v>
      </c>
      <c r="J6" s="397">
        <v>3.423428158969068</v>
      </c>
      <c r="K6" s="397">
        <v>95.397257159769325</v>
      </c>
      <c r="L6" s="397">
        <v>3.8038090655211865</v>
      </c>
      <c r="M6" s="397">
        <v>105.99695239974371</v>
      </c>
      <c r="N6" s="397">
        <v>4.1841899720733062</v>
      </c>
      <c r="O6" s="397">
        <v>116.59664763971809</v>
      </c>
      <c r="P6" s="483"/>
      <c r="Q6" s="483"/>
    </row>
    <row r="7" spans="1:20" x14ac:dyDescent="0.2">
      <c r="A7" s="189" t="s">
        <v>249</v>
      </c>
      <c r="B7" s="397">
        <v>0.41947896605615687</v>
      </c>
      <c r="C7" s="397">
        <v>10.063300395687202</v>
      </c>
      <c r="D7" s="397">
        <v>0.55942767447979569</v>
      </c>
      <c r="E7" s="397">
        <v>13.420669910770298</v>
      </c>
      <c r="F7" s="397">
        <v>0.70472568957775905</v>
      </c>
      <c r="G7" s="397">
        <v>16.906369292970439</v>
      </c>
      <c r="H7" s="28"/>
      <c r="I7" s="189" t="s">
        <v>249</v>
      </c>
      <c r="J7" s="397">
        <v>0.41947896605615687</v>
      </c>
      <c r="K7" s="397">
        <v>1.8806340283197016</v>
      </c>
      <c r="L7" s="397">
        <v>0.55942767447979569</v>
      </c>
      <c r="M7" s="397">
        <v>2.508060728054756</v>
      </c>
      <c r="N7" s="397">
        <v>0.70472568957775905</v>
      </c>
      <c r="O7" s="397">
        <v>3.1594697701089847</v>
      </c>
      <c r="P7" s="483"/>
      <c r="Q7" s="483"/>
    </row>
    <row r="8" spans="1:20" x14ac:dyDescent="0.2">
      <c r="A8" s="24" t="s">
        <v>242</v>
      </c>
      <c r="B8" s="399">
        <v>5.4460024309706777E-3</v>
      </c>
      <c r="C8" s="399">
        <v>0.15175831659820521</v>
      </c>
      <c r="D8" s="399">
        <v>4.6698226622100147</v>
      </c>
      <c r="E8" s="399">
        <v>130.12928932953622</v>
      </c>
      <c r="F8" s="399">
        <v>11.919824183815523</v>
      </c>
      <c r="G8" s="399">
        <v>332.15784884620422</v>
      </c>
      <c r="H8" s="28"/>
      <c r="I8" s="24" t="s">
        <v>242</v>
      </c>
      <c r="J8" s="399">
        <v>6.0824384790810534E-3</v>
      </c>
      <c r="K8" s="399">
        <v>0.1694932450173301</v>
      </c>
      <c r="L8" s="399">
        <v>5.275070852407989</v>
      </c>
      <c r="M8" s="399">
        <v>146.9951368264467</v>
      </c>
      <c r="N8" s="399">
        <v>13.43469278294023</v>
      </c>
      <c r="O8" s="399">
        <v>374.37118080567444</v>
      </c>
      <c r="P8" s="483"/>
      <c r="Q8" s="483"/>
    </row>
    <row r="9" spans="1:20" s="20" customFormat="1" x14ac:dyDescent="0.2">
      <c r="A9" s="19" t="s">
        <v>17</v>
      </c>
      <c r="B9" s="398">
        <f>SUM(B5:B8)</f>
        <v>4.5323000830325819</v>
      </c>
      <c r="C9" s="398">
        <f t="shared" ref="C9:G9" si="0">SUM(C5:C8)</f>
        <v>124.67118335078995</v>
      </c>
      <c r="D9" s="398">
        <f t="shared" si="0"/>
        <v>9.7930004639625388</v>
      </c>
      <c r="E9" s="398">
        <f t="shared" si="0"/>
        <v>270.72343106086709</v>
      </c>
      <c r="F9" s="398">
        <f t="shared" si="0"/>
        <v>18.180587413393283</v>
      </c>
      <c r="G9" s="398">
        <f t="shared" si="0"/>
        <v>503.88877334535891</v>
      </c>
      <c r="H9" s="30"/>
      <c r="I9" s="19" t="s">
        <v>17</v>
      </c>
      <c r="J9" s="398">
        <f t="shared" ref="J9:O9" si="1">SUM(J5:J8)</f>
        <v>6.2605953635043061</v>
      </c>
      <c r="K9" s="398">
        <f t="shared" si="1"/>
        <v>164.64919734916057</v>
      </c>
      <c r="L9" s="398">
        <f t="shared" si="1"/>
        <v>12.317869592408972</v>
      </c>
      <c r="M9" s="398">
        <f t="shared" si="1"/>
        <v>330.16883097208313</v>
      </c>
      <c r="N9" s="398">
        <f t="shared" si="1"/>
        <v>21.807039044591296</v>
      </c>
      <c r="O9" s="398">
        <f t="shared" si="1"/>
        <v>591.1965835386909</v>
      </c>
    </row>
    <row r="10" spans="1:20" x14ac:dyDescent="0.2">
      <c r="H10" s="28"/>
    </row>
    <row r="11" spans="1:20" s="20" customFormat="1" x14ac:dyDescent="0.2">
      <c r="A11" s="183" t="s">
        <v>18</v>
      </c>
      <c r="B11" s="490" t="s">
        <v>6</v>
      </c>
      <c r="C11" s="491"/>
      <c r="D11" s="490" t="s">
        <v>4</v>
      </c>
      <c r="E11" s="491"/>
      <c r="F11" s="490" t="s">
        <v>5</v>
      </c>
      <c r="G11" s="491"/>
      <c r="H11" s="30"/>
      <c r="I11" s="183" t="s">
        <v>18</v>
      </c>
      <c r="J11" s="490" t="s">
        <v>6</v>
      </c>
      <c r="K11" s="491"/>
      <c r="L11" s="490" t="s">
        <v>4</v>
      </c>
      <c r="M11" s="491"/>
      <c r="N11" s="490" t="s">
        <v>5</v>
      </c>
      <c r="O11" s="491"/>
      <c r="P11" s="21"/>
      <c r="Q11" s="21"/>
      <c r="R11" s="21"/>
      <c r="S11" s="21"/>
      <c r="T11" s="21"/>
    </row>
    <row r="12" spans="1:20" x14ac:dyDescent="0.2">
      <c r="A12" s="27" t="s">
        <v>148</v>
      </c>
      <c r="B12" s="41" t="s">
        <v>14</v>
      </c>
      <c r="C12" s="41" t="s">
        <v>15</v>
      </c>
      <c r="D12" s="41" t="s">
        <v>14</v>
      </c>
      <c r="E12" s="41" t="s">
        <v>15</v>
      </c>
      <c r="F12" s="41" t="s">
        <v>14</v>
      </c>
      <c r="G12" s="41" t="s">
        <v>15</v>
      </c>
      <c r="H12" s="31"/>
      <c r="I12" s="27" t="s">
        <v>148</v>
      </c>
      <c r="J12" s="41" t="s">
        <v>14</v>
      </c>
      <c r="K12" s="41" t="s">
        <v>15</v>
      </c>
      <c r="L12" s="41" t="s">
        <v>14</v>
      </c>
      <c r="M12" s="41" t="s">
        <v>15</v>
      </c>
      <c r="N12" s="41" t="s">
        <v>14</v>
      </c>
      <c r="O12" s="41" t="s">
        <v>15</v>
      </c>
    </row>
    <row r="13" spans="1:20" x14ac:dyDescent="0.2">
      <c r="A13" s="23" t="s">
        <v>19</v>
      </c>
      <c r="B13" s="396">
        <v>2.1960152583966099</v>
      </c>
      <c r="C13" s="396">
        <v>61.1941663747738</v>
      </c>
      <c r="D13" s="396">
        <v>2.8689604081694968</v>
      </c>
      <c r="E13" s="396">
        <v>79.946457507015893</v>
      </c>
      <c r="F13" s="396">
        <v>3.7563978637596569</v>
      </c>
      <c r="G13" s="396">
        <v>104.67579173952981</v>
      </c>
      <c r="H13" s="31"/>
      <c r="I13" s="23" t="s">
        <v>19</v>
      </c>
      <c r="J13" s="396">
        <v>1.8227994835164418</v>
      </c>
      <c r="K13" s="396">
        <v>50.794134710885253</v>
      </c>
      <c r="L13" s="396">
        <v>2.8527918505965375</v>
      </c>
      <c r="M13" s="396">
        <v>79.495904443517517</v>
      </c>
      <c r="N13" s="396">
        <v>3.9509606346861639</v>
      </c>
      <c r="O13" s="396">
        <v>110.09747837348642</v>
      </c>
    </row>
    <row r="14" spans="1:20" x14ac:dyDescent="0.2">
      <c r="A14" s="24" t="s">
        <v>20</v>
      </c>
      <c r="B14" s="399">
        <v>1.2656700000000001</v>
      </c>
      <c r="C14" s="399">
        <v>35.269163207959757</v>
      </c>
      <c r="D14" s="399">
        <v>1.4063000000000001</v>
      </c>
      <c r="E14" s="399">
        <v>39.187959119955288</v>
      </c>
      <c r="F14" s="399">
        <v>1.82819</v>
      </c>
      <c r="G14" s="399">
        <v>50.944346855941866</v>
      </c>
      <c r="H14" s="28"/>
      <c r="I14" s="24" t="s">
        <v>20</v>
      </c>
      <c r="J14" s="399">
        <v>1.0040625000000001</v>
      </c>
      <c r="K14" s="399">
        <v>27.979207995363794</v>
      </c>
      <c r="L14" s="399">
        <v>1.1156250000000001</v>
      </c>
      <c r="M14" s="399">
        <v>31.088008883737547</v>
      </c>
      <c r="N14" s="399">
        <v>1.4503124999999999</v>
      </c>
      <c r="O14" s="399">
        <v>40.414411548858816</v>
      </c>
    </row>
    <row r="15" spans="1:20" s="20" customFormat="1" x14ac:dyDescent="0.2">
      <c r="A15" s="19" t="s">
        <v>21</v>
      </c>
      <c r="B15" s="400">
        <f t="shared" ref="B15:G15" si="2">SUM(B13:B14)</f>
        <v>3.46168525839661</v>
      </c>
      <c r="C15" s="400">
        <f t="shared" si="2"/>
        <v>96.463329582733564</v>
      </c>
      <c r="D15" s="400">
        <f t="shared" si="2"/>
        <v>4.2752604081694967</v>
      </c>
      <c r="E15" s="400">
        <f t="shared" si="2"/>
        <v>119.13441662697119</v>
      </c>
      <c r="F15" s="400">
        <f t="shared" si="2"/>
        <v>5.5845878637596567</v>
      </c>
      <c r="G15" s="400">
        <f t="shared" si="2"/>
        <v>155.62013859547167</v>
      </c>
      <c r="H15" s="30"/>
      <c r="I15" s="19" t="s">
        <v>21</v>
      </c>
      <c r="J15" s="400">
        <f t="shared" ref="J15:O15" si="3">SUM(J13:J14)</f>
        <v>2.8268619835164417</v>
      </c>
      <c r="K15" s="400">
        <f t="shared" si="3"/>
        <v>78.773342706249053</v>
      </c>
      <c r="L15" s="400">
        <f t="shared" si="3"/>
        <v>3.9684168505965376</v>
      </c>
      <c r="M15" s="400">
        <f t="shared" si="3"/>
        <v>110.58391332725506</v>
      </c>
      <c r="N15" s="400">
        <f t="shared" si="3"/>
        <v>5.4012731346861642</v>
      </c>
      <c r="O15" s="400">
        <f t="shared" si="3"/>
        <v>150.51188992234523</v>
      </c>
    </row>
    <row r="17" spans="1:12" s="20" customFormat="1" x14ac:dyDescent="0.2">
      <c r="A17" s="19" t="s">
        <v>22</v>
      </c>
      <c r="H17" s="19"/>
      <c r="I17" s="19" t="s">
        <v>22</v>
      </c>
    </row>
    <row r="18" spans="1:12" x14ac:dyDescent="0.2">
      <c r="A18" s="25"/>
      <c r="B18" s="487" t="s">
        <v>23</v>
      </c>
      <c r="C18" s="488"/>
      <c r="D18" s="489"/>
      <c r="I18" s="25"/>
      <c r="J18" s="487" t="s">
        <v>23</v>
      </c>
      <c r="K18" s="488"/>
      <c r="L18" s="489"/>
    </row>
    <row r="19" spans="1:12" x14ac:dyDescent="0.2">
      <c r="A19" s="26" t="s">
        <v>24</v>
      </c>
      <c r="B19" s="187" t="s">
        <v>6</v>
      </c>
      <c r="C19" s="187" t="s">
        <v>4</v>
      </c>
      <c r="D19" s="188" t="s">
        <v>5</v>
      </c>
      <c r="I19" s="26" t="s">
        <v>24</v>
      </c>
      <c r="J19" s="187" t="s">
        <v>6</v>
      </c>
      <c r="K19" s="187" t="s">
        <v>4</v>
      </c>
      <c r="L19" s="188" t="s">
        <v>5</v>
      </c>
    </row>
    <row r="20" spans="1:12" x14ac:dyDescent="0.2">
      <c r="A20" s="26" t="s">
        <v>6</v>
      </c>
      <c r="B20" s="471">
        <f>C9/C15</f>
        <v>1.2924204865213924</v>
      </c>
      <c r="C20" s="472">
        <f>E9/C15</f>
        <v>2.8064906346476057</v>
      </c>
      <c r="D20" s="473">
        <f>G9/C15</f>
        <v>5.2236303217502913</v>
      </c>
      <c r="I20" s="26" t="s">
        <v>6</v>
      </c>
      <c r="J20" s="471">
        <f>K9/K15</f>
        <v>2.0901639018055662</v>
      </c>
      <c r="K20" s="472">
        <f>M9/K15</f>
        <v>4.1913776872882531</v>
      </c>
      <c r="L20" s="473">
        <f>O9/K15</f>
        <v>7.5050335967498754</v>
      </c>
    </row>
    <row r="21" spans="1:12" x14ac:dyDescent="0.2">
      <c r="A21" s="26" t="s">
        <v>4</v>
      </c>
      <c r="B21" s="474">
        <f>C9/E15</f>
        <v>1.0464749556054422</v>
      </c>
      <c r="C21" s="475">
        <f>E9/E15</f>
        <v>2.2724200002468238</v>
      </c>
      <c r="D21" s="476">
        <f>G9/E15</f>
        <v>4.2295819093412348</v>
      </c>
      <c r="I21" s="26" t="s">
        <v>4</v>
      </c>
      <c r="J21" s="474">
        <f>K9/M15</f>
        <v>1.4889073138685924</v>
      </c>
      <c r="K21" s="475">
        <f>M9/M15</f>
        <v>2.9856859016645787</v>
      </c>
      <c r="L21" s="476">
        <f>O9/M15</f>
        <v>5.3461354888856301</v>
      </c>
    </row>
    <row r="22" spans="1:12" x14ac:dyDescent="0.2">
      <c r="A22" s="29" t="s">
        <v>5</v>
      </c>
      <c r="B22" s="477">
        <f>C9/G15</f>
        <v>0.80112499883365162</v>
      </c>
      <c r="C22" s="478">
        <f>E9/G15</f>
        <v>1.73964265489187</v>
      </c>
      <c r="D22" s="479">
        <f>G9/G15</f>
        <v>3.2379406540383417</v>
      </c>
      <c r="I22" s="29" t="s">
        <v>5</v>
      </c>
      <c r="J22" s="477">
        <f>K9/O15</f>
        <v>1.0939281769308014</v>
      </c>
      <c r="K22" s="478">
        <f>M9/O15</f>
        <v>2.1936395267007125</v>
      </c>
      <c r="L22" s="479">
        <f>O9/O15</f>
        <v>3.9279061863066866</v>
      </c>
    </row>
    <row r="29" spans="1:12" x14ac:dyDescent="0.2">
      <c r="E29" s="482"/>
      <c r="F29" s="482"/>
      <c r="G29" s="482"/>
    </row>
    <row r="31" spans="1:12" x14ac:dyDescent="0.2">
      <c r="B31" s="481"/>
      <c r="C31" s="481"/>
      <c r="D31" s="481"/>
      <c r="E31" s="481"/>
      <c r="F31" s="481"/>
      <c r="G31" s="481"/>
    </row>
    <row r="32" spans="1:12" x14ac:dyDescent="0.2">
      <c r="B32" s="481"/>
      <c r="C32" s="481"/>
      <c r="D32" s="481"/>
      <c r="E32" s="482"/>
      <c r="F32" s="482"/>
      <c r="G32" s="482"/>
    </row>
  </sheetData>
  <mergeCells count="14">
    <mergeCell ref="N11:O11"/>
    <mergeCell ref="B3:C3"/>
    <mergeCell ref="D3:E3"/>
    <mergeCell ref="F3:G3"/>
    <mergeCell ref="J3:K3"/>
    <mergeCell ref="L3:M3"/>
    <mergeCell ref="N3:O3"/>
    <mergeCell ref="B18:D18"/>
    <mergeCell ref="J18:L18"/>
    <mergeCell ref="B11:C11"/>
    <mergeCell ref="D11:E11"/>
    <mergeCell ref="F11:G11"/>
    <mergeCell ref="J11:K11"/>
    <mergeCell ref="L11:M11"/>
  </mergeCells>
  <conditionalFormatting sqref="B20:D22">
    <cfRule type="cellIs" dxfId="5" priority="4" operator="equal">
      <formula>1</formula>
    </cfRule>
    <cfRule type="cellIs" dxfId="4" priority="5" operator="greaterThan">
      <formula>1</formula>
    </cfRule>
    <cfRule type="cellIs" dxfId="3" priority="6" operator="lessThan">
      <formula>1</formula>
    </cfRule>
  </conditionalFormatting>
  <conditionalFormatting sqref="J20:L22">
    <cfRule type="cellIs" dxfId="2" priority="1" operator="equal">
      <formula>1</formula>
    </cfRule>
    <cfRule type="cellIs" dxfId="1" priority="2" operator="greaterThan">
      <formula>1</formula>
    </cfRule>
    <cfRule type="cellIs" dxfId="0" priority="3" operator="lessThan">
      <formula>1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="85" zoomScaleNormal="85" zoomScalePageLayoutView="85" workbookViewId="0">
      <selection activeCell="K23" sqref="K23"/>
    </sheetView>
  </sheetViews>
  <sheetFormatPr defaultColWidth="10.875" defaultRowHeight="15" x14ac:dyDescent="0.25"/>
  <cols>
    <col min="1" max="1" width="38.125" style="4" bestFit="1" customWidth="1"/>
    <col min="2" max="2" width="10.5" style="9" customWidth="1"/>
    <col min="3" max="3" width="12.875" style="9" customWidth="1"/>
    <col min="4" max="5" width="12.875" style="4" customWidth="1"/>
    <col min="6" max="6" width="5.5" style="1" customWidth="1"/>
    <col min="7" max="9" width="12.625" style="1" customWidth="1"/>
    <col min="10" max="10" width="16.375" style="1" customWidth="1"/>
    <col min="11" max="16384" width="10.875" style="1"/>
  </cols>
  <sheetData>
    <row r="1" spans="1:11" s="83" customFormat="1" ht="18.75" x14ac:dyDescent="0.3">
      <c r="A1" s="84" t="s">
        <v>107</v>
      </c>
      <c r="B1" s="82"/>
      <c r="C1" s="82" t="str">
        <f>Project_Master!B14</f>
        <v>FC 1.0/No Action</v>
      </c>
      <c r="D1" s="85"/>
      <c r="F1" s="82"/>
      <c r="G1" s="82" t="str">
        <f>Project_Master!$B$15</f>
        <v>FC 2.0</v>
      </c>
      <c r="H1" s="82"/>
      <c r="I1" s="82"/>
    </row>
    <row r="2" spans="1:11" x14ac:dyDescent="0.25">
      <c r="A2" s="263" t="s">
        <v>108</v>
      </c>
    </row>
    <row r="3" spans="1:11" s="76" customFormat="1" ht="15.75" x14ac:dyDescent="0.25">
      <c r="A3" s="74" t="s">
        <v>111</v>
      </c>
      <c r="B3" s="80" t="s">
        <v>0</v>
      </c>
      <c r="C3" s="80" t="s">
        <v>6</v>
      </c>
      <c r="D3" s="81" t="s">
        <v>4</v>
      </c>
      <c r="E3" s="81" t="s">
        <v>5</v>
      </c>
      <c r="G3" s="80" t="s">
        <v>6</v>
      </c>
      <c r="H3" s="81" t="s">
        <v>4</v>
      </c>
      <c r="I3" s="81" t="s">
        <v>5</v>
      </c>
      <c r="J3" s="75" t="s">
        <v>7</v>
      </c>
    </row>
    <row r="4" spans="1:11" s="2" customFormat="1" x14ac:dyDescent="0.25">
      <c r="A4" s="303" t="s">
        <v>240</v>
      </c>
      <c r="B4" s="73"/>
      <c r="C4" s="86">
        <f>C5*C6</f>
        <v>31280000</v>
      </c>
      <c r="D4" s="87">
        <f t="shared" ref="D4:E4" si="0">D5*D6</f>
        <v>39000000</v>
      </c>
      <c r="E4" s="88">
        <f t="shared" si="0"/>
        <v>56550000</v>
      </c>
      <c r="G4" s="86">
        <f t="shared" ref="G4:I4" si="1">G5*G6</f>
        <v>3632640</v>
      </c>
      <c r="H4" s="87">
        <f t="shared" si="1"/>
        <v>4260960</v>
      </c>
      <c r="I4" s="88">
        <f t="shared" si="1"/>
        <v>4884000</v>
      </c>
      <c r="J4" s="1"/>
    </row>
    <row r="5" spans="1:11" x14ac:dyDescent="0.25">
      <c r="A5" s="304" t="s">
        <v>92</v>
      </c>
      <c r="B5" s="9" t="s">
        <v>3</v>
      </c>
      <c r="C5" s="264">
        <v>46000</v>
      </c>
      <c r="D5" s="265">
        <v>52000</v>
      </c>
      <c r="E5" s="266">
        <v>58000</v>
      </c>
      <c r="F5" s="191"/>
      <c r="G5" s="264">
        <v>5280</v>
      </c>
      <c r="H5" s="265">
        <v>5280</v>
      </c>
      <c r="I5" s="266">
        <v>5280</v>
      </c>
      <c r="J5" s="191"/>
    </row>
    <row r="6" spans="1:11" x14ac:dyDescent="0.25">
      <c r="A6" s="304" t="s">
        <v>106</v>
      </c>
      <c r="B6" s="9" t="s">
        <v>103</v>
      </c>
      <c r="C6" s="267">
        <v>680</v>
      </c>
      <c r="D6" s="268">
        <v>750</v>
      </c>
      <c r="E6" s="269">
        <v>975</v>
      </c>
      <c r="G6" s="267">
        <v>688</v>
      </c>
      <c r="H6" s="268">
        <v>807</v>
      </c>
      <c r="I6" s="269">
        <v>925</v>
      </c>
      <c r="J6" s="70"/>
    </row>
    <row r="7" spans="1:11" s="2" customFormat="1" x14ac:dyDescent="0.25">
      <c r="A7" s="303" t="s">
        <v>239</v>
      </c>
      <c r="B7" s="77"/>
      <c r="C7" s="92">
        <f>C8*C9</f>
        <v>97500000</v>
      </c>
      <c r="D7" s="90">
        <f>D8*D9</f>
        <v>130000000</v>
      </c>
      <c r="E7" s="91">
        <f>E8*E9</f>
        <v>162500000</v>
      </c>
      <c r="G7" s="92">
        <f>G8*G9</f>
        <v>22500000</v>
      </c>
      <c r="H7" s="90">
        <f>H8*H9</f>
        <v>30000000</v>
      </c>
      <c r="I7" s="91">
        <f>I8*I9</f>
        <v>37500000</v>
      </c>
      <c r="J7" s="78"/>
    </row>
    <row r="8" spans="1:11" x14ac:dyDescent="0.25">
      <c r="A8" s="304" t="s">
        <v>238</v>
      </c>
      <c r="B8" s="10" t="s">
        <v>1</v>
      </c>
      <c r="C8" s="264">
        <v>13</v>
      </c>
      <c r="D8" s="265">
        <v>13</v>
      </c>
      <c r="E8" s="266">
        <v>13</v>
      </c>
      <c r="F8" s="191"/>
      <c r="G8" s="264">
        <v>3</v>
      </c>
      <c r="H8" s="265">
        <v>3</v>
      </c>
      <c r="I8" s="266">
        <v>3</v>
      </c>
      <c r="J8" s="192"/>
      <c r="K8" s="347"/>
    </row>
    <row r="9" spans="1:11" x14ac:dyDescent="0.25">
      <c r="A9" s="304" t="s">
        <v>237</v>
      </c>
      <c r="B9" s="10" t="s">
        <v>103</v>
      </c>
      <c r="C9" s="273">
        <v>7500000</v>
      </c>
      <c r="D9" s="271">
        <v>10000000</v>
      </c>
      <c r="E9" s="272">
        <v>12500000</v>
      </c>
      <c r="G9" s="273">
        <v>7500000</v>
      </c>
      <c r="H9" s="271">
        <v>10000000</v>
      </c>
      <c r="I9" s="272">
        <v>12500000</v>
      </c>
      <c r="J9" s="70"/>
    </row>
    <row r="10" spans="1:11" s="2" customFormat="1" x14ac:dyDescent="0.25">
      <c r="A10" s="303" t="s">
        <v>235</v>
      </c>
      <c r="B10" s="73"/>
      <c r="C10" s="89">
        <f>C11*C12</f>
        <v>0</v>
      </c>
      <c r="D10" s="90">
        <f>D11*D12</f>
        <v>0</v>
      </c>
      <c r="E10" s="91">
        <f>E11*E12</f>
        <v>0</v>
      </c>
      <c r="G10" s="89">
        <f>G11*G12</f>
        <v>10432800</v>
      </c>
      <c r="H10" s="90">
        <f>H11*H12</f>
        <v>11592000</v>
      </c>
      <c r="I10" s="91">
        <f>I11*I12</f>
        <v>15069600</v>
      </c>
      <c r="J10" s="78"/>
    </row>
    <row r="11" spans="1:11" x14ac:dyDescent="0.25">
      <c r="A11" s="304" t="s">
        <v>105</v>
      </c>
      <c r="B11" s="9" t="s">
        <v>3</v>
      </c>
      <c r="C11" s="264"/>
      <c r="D11" s="265"/>
      <c r="E11" s="266"/>
      <c r="F11" s="191"/>
      <c r="G11" s="264">
        <v>25760</v>
      </c>
      <c r="H11" s="265">
        <v>25760</v>
      </c>
      <c r="I11" s="266">
        <v>25760</v>
      </c>
      <c r="J11" s="192"/>
    </row>
    <row r="12" spans="1:11" x14ac:dyDescent="0.25">
      <c r="A12" s="304" t="s">
        <v>106</v>
      </c>
      <c r="B12" s="9" t="s">
        <v>103</v>
      </c>
      <c r="C12" s="270"/>
      <c r="D12" s="271"/>
      <c r="E12" s="272"/>
      <c r="G12" s="270">
        <v>405</v>
      </c>
      <c r="H12" s="271">
        <v>450</v>
      </c>
      <c r="I12" s="272">
        <v>585</v>
      </c>
      <c r="J12" s="70"/>
    </row>
    <row r="13" spans="1:11" s="2" customFormat="1" x14ac:dyDescent="0.25">
      <c r="A13" s="303" t="s">
        <v>11</v>
      </c>
      <c r="B13" s="77"/>
      <c r="C13" s="89">
        <f>C14*C15</f>
        <v>0</v>
      </c>
      <c r="D13" s="90">
        <f>D14*D15</f>
        <v>0</v>
      </c>
      <c r="E13" s="91">
        <f>E14*E15</f>
        <v>0</v>
      </c>
      <c r="G13" s="89">
        <f>G14*G15</f>
        <v>60000</v>
      </c>
      <c r="H13" s="90">
        <f>H14*H15</f>
        <v>198000</v>
      </c>
      <c r="I13" s="91">
        <f>I14*I15</f>
        <v>900000</v>
      </c>
      <c r="J13" s="70"/>
    </row>
    <row r="14" spans="1:11" s="2" customFormat="1" x14ac:dyDescent="0.25">
      <c r="A14" s="304" t="s">
        <v>110</v>
      </c>
      <c r="B14" s="10" t="s">
        <v>2</v>
      </c>
      <c r="C14" s="264"/>
      <c r="D14" s="265"/>
      <c r="E14" s="266"/>
      <c r="F14" s="191"/>
      <c r="G14" s="264">
        <v>15</v>
      </c>
      <c r="H14" s="265">
        <v>18</v>
      </c>
      <c r="I14" s="266">
        <v>20</v>
      </c>
      <c r="J14" s="192"/>
      <c r="K14" s="348"/>
    </row>
    <row r="15" spans="1:11" s="2" customFormat="1" x14ac:dyDescent="0.25">
      <c r="A15" s="304" t="s">
        <v>109</v>
      </c>
      <c r="B15" s="10" t="s">
        <v>103</v>
      </c>
      <c r="C15" s="270"/>
      <c r="D15" s="271"/>
      <c r="E15" s="272"/>
      <c r="G15" s="270">
        <v>4000</v>
      </c>
      <c r="H15" s="271">
        <v>11000</v>
      </c>
      <c r="I15" s="272">
        <v>45000</v>
      </c>
      <c r="J15" s="70"/>
    </row>
    <row r="16" spans="1:11" s="2" customFormat="1" x14ac:dyDescent="0.25">
      <c r="A16" s="303" t="s">
        <v>234</v>
      </c>
      <c r="B16" s="77"/>
      <c r="C16" s="89">
        <f>C17*C18</f>
        <v>0</v>
      </c>
      <c r="D16" s="90">
        <f>D17*D18</f>
        <v>0</v>
      </c>
      <c r="E16" s="91">
        <f>E17*E18</f>
        <v>0</v>
      </c>
      <c r="G16" s="89">
        <f>G17*G18</f>
        <v>40000000</v>
      </c>
      <c r="H16" s="90">
        <f>H17*H18</f>
        <v>70000000</v>
      </c>
      <c r="I16" s="91">
        <f>I17*I18</f>
        <v>100000000</v>
      </c>
      <c r="J16" s="70"/>
    </row>
    <row r="17" spans="1:11" s="2" customFormat="1" x14ac:dyDescent="0.25">
      <c r="A17" s="304" t="s">
        <v>236</v>
      </c>
      <c r="B17" s="10" t="s">
        <v>1</v>
      </c>
      <c r="C17" s="264"/>
      <c r="D17" s="265"/>
      <c r="E17" s="266"/>
      <c r="F17" s="191"/>
      <c r="G17" s="264">
        <v>2000000</v>
      </c>
      <c r="H17" s="265">
        <v>3500000</v>
      </c>
      <c r="I17" s="266">
        <v>5000000</v>
      </c>
      <c r="J17" s="192"/>
      <c r="K17" s="348"/>
    </row>
    <row r="18" spans="1:11" s="2" customFormat="1" x14ac:dyDescent="0.25">
      <c r="A18" s="304" t="s">
        <v>201</v>
      </c>
      <c r="B18" s="10" t="s">
        <v>103</v>
      </c>
      <c r="C18" s="270"/>
      <c r="D18" s="271"/>
      <c r="E18" s="272"/>
      <c r="G18" s="270">
        <v>20</v>
      </c>
      <c r="H18" s="271">
        <v>20</v>
      </c>
      <c r="I18" s="272">
        <v>20</v>
      </c>
      <c r="J18" s="70"/>
    </row>
    <row r="19" spans="1:11" s="2" customFormat="1" x14ac:dyDescent="0.25">
      <c r="A19" s="72" t="s">
        <v>193</v>
      </c>
      <c r="B19" s="10"/>
      <c r="C19" s="300">
        <v>0.05</v>
      </c>
      <c r="D19" s="301">
        <v>0.05</v>
      </c>
      <c r="E19" s="302">
        <v>0.05</v>
      </c>
      <c r="G19" s="300">
        <v>0.05</v>
      </c>
      <c r="H19" s="301">
        <v>0.05</v>
      </c>
      <c r="I19" s="302">
        <v>0.05</v>
      </c>
      <c r="J19" s="70"/>
    </row>
    <row r="20" spans="1:11" s="2" customFormat="1" x14ac:dyDescent="0.25">
      <c r="A20" s="72" t="s">
        <v>194</v>
      </c>
      <c r="B20" s="10"/>
      <c r="C20" s="300">
        <v>0.01</v>
      </c>
      <c r="D20" s="301">
        <v>0.02</v>
      </c>
      <c r="E20" s="302">
        <v>0.03</v>
      </c>
      <c r="G20" s="300">
        <v>0.01</v>
      </c>
      <c r="H20" s="301">
        <v>0.02</v>
      </c>
      <c r="I20" s="302">
        <v>0.03</v>
      </c>
      <c r="J20" s="70"/>
    </row>
    <row r="21" spans="1:11" s="78" customFormat="1" x14ac:dyDescent="0.25">
      <c r="A21" s="303"/>
      <c r="B21" s="330"/>
      <c r="C21" s="331"/>
      <c r="D21" s="331"/>
      <c r="E21" s="331"/>
      <c r="G21" s="332"/>
      <c r="H21" s="332"/>
      <c r="I21" s="332"/>
      <c r="J21" s="70"/>
    </row>
    <row r="22" spans="1:11" x14ac:dyDescent="0.25">
      <c r="A22" s="11"/>
    </row>
    <row r="23" spans="1:11" x14ac:dyDescent="0.25">
      <c r="A23" s="311" t="s">
        <v>87</v>
      </c>
      <c r="B23" s="312"/>
      <c r="C23" s="312"/>
      <c r="D23" s="311"/>
      <c r="E23" s="311"/>
    </row>
    <row r="24" spans="1:11" s="2" customFormat="1" x14ac:dyDescent="0.25">
      <c r="A24" s="11" t="s">
        <v>115</v>
      </c>
      <c r="B24" s="9"/>
      <c r="C24" s="352">
        <f>C25*C27</f>
        <v>0</v>
      </c>
      <c r="D24" s="4"/>
      <c r="E24" s="4"/>
    </row>
    <row r="25" spans="1:11" x14ac:dyDescent="0.25">
      <c r="A25" s="68" t="s">
        <v>88</v>
      </c>
      <c r="C25" s="368"/>
    </row>
    <row r="26" spans="1:11" x14ac:dyDescent="0.25">
      <c r="A26" s="68" t="s">
        <v>89</v>
      </c>
      <c r="C26" s="369">
        <v>4</v>
      </c>
      <c r="H26" s="137"/>
      <c r="I26" s="137"/>
    </row>
    <row r="27" spans="1:11" x14ac:dyDescent="0.25">
      <c r="A27" s="68" t="s">
        <v>90</v>
      </c>
      <c r="C27" s="370">
        <v>25</v>
      </c>
      <c r="E27" s="4" t="s">
        <v>185</v>
      </c>
    </row>
    <row r="28" spans="1:11" x14ac:dyDescent="0.25">
      <c r="A28" s="305" t="s">
        <v>91</v>
      </c>
      <c r="B28" s="306"/>
      <c r="C28" s="371"/>
      <c r="D28" s="307"/>
      <c r="E28" s="307"/>
    </row>
    <row r="29" spans="1:11" x14ac:dyDescent="0.25">
      <c r="A29" s="308" t="s">
        <v>182</v>
      </c>
      <c r="B29" s="69"/>
      <c r="C29" s="372"/>
      <c r="D29" s="16"/>
      <c r="E29" s="16"/>
    </row>
    <row r="30" spans="1:11" x14ac:dyDescent="0.25">
      <c r="A30" s="72" t="s">
        <v>183</v>
      </c>
      <c r="B30" s="73"/>
      <c r="C30" s="309">
        <f>C24+C28+C29</f>
        <v>0</v>
      </c>
      <c r="D30" s="310">
        <f>C30/3</f>
        <v>0</v>
      </c>
      <c r="E30" s="5"/>
    </row>
    <row r="31" spans="1:11" x14ac:dyDescent="0.25">
      <c r="A31" s="11"/>
    </row>
    <row r="32" spans="1:11" x14ac:dyDescent="0.25">
      <c r="A32" s="11"/>
    </row>
    <row r="33" spans="1:9" s="2" customFormat="1" x14ac:dyDescent="0.25">
      <c r="A33" s="311" t="s">
        <v>98</v>
      </c>
      <c r="B33" s="312"/>
      <c r="C33" s="312"/>
      <c r="D33" s="311"/>
      <c r="E33" s="311"/>
    </row>
    <row r="34" spans="1:9" x14ac:dyDescent="0.25">
      <c r="A34" s="343" t="s">
        <v>93</v>
      </c>
    </row>
    <row r="35" spans="1:9" x14ac:dyDescent="0.25">
      <c r="A35" s="326" t="s">
        <v>219</v>
      </c>
      <c r="B35" s="382" t="s">
        <v>180</v>
      </c>
      <c r="C35" s="326" t="str">
        <f>G1</f>
        <v>FC 2.0</v>
      </c>
      <c r="D35" s="326"/>
      <c r="E35" s="326"/>
      <c r="F35" s="382" t="s">
        <v>202</v>
      </c>
      <c r="G35" s="326" t="str">
        <f>G1</f>
        <v>FC 2.0</v>
      </c>
      <c r="H35" s="326"/>
    </row>
    <row r="36" spans="1:9" x14ac:dyDescent="0.25">
      <c r="A36" s="108" t="s">
        <v>229</v>
      </c>
      <c r="B36" s="362">
        <v>927</v>
      </c>
      <c r="C36" s="228">
        <v>0</v>
      </c>
      <c r="D36" s="363"/>
      <c r="E36" s="108"/>
      <c r="F36" s="383"/>
      <c r="G36" s="325">
        <f t="shared" ref="G36:G38" si="2">C36-$B36</f>
        <v>-927</v>
      </c>
      <c r="H36" s="353"/>
    </row>
    <row r="37" spans="1:9" x14ac:dyDescent="0.25">
      <c r="A37" s="108" t="s">
        <v>73</v>
      </c>
      <c r="B37" s="364">
        <v>88</v>
      </c>
      <c r="C37" s="229">
        <v>1151</v>
      </c>
      <c r="D37" s="365"/>
      <c r="E37" s="108"/>
      <c r="F37" s="384"/>
      <c r="G37" s="354">
        <f t="shared" si="2"/>
        <v>1063</v>
      </c>
      <c r="H37" s="355"/>
    </row>
    <row r="38" spans="1:9" x14ac:dyDescent="0.25">
      <c r="A38" s="108" t="s">
        <v>230</v>
      </c>
      <c r="B38" s="364">
        <v>81</v>
      </c>
      <c r="C38" s="229">
        <v>61</v>
      </c>
      <c r="D38" s="365"/>
      <c r="E38" s="108"/>
      <c r="F38" s="384"/>
      <c r="G38" s="354">
        <f t="shared" si="2"/>
        <v>-20</v>
      </c>
      <c r="H38" s="355"/>
    </row>
    <row r="39" spans="1:9" x14ac:dyDescent="0.25">
      <c r="A39" s="4" t="s">
        <v>231</v>
      </c>
      <c r="B39" s="364">
        <v>71</v>
      </c>
      <c r="C39" s="229">
        <v>71</v>
      </c>
      <c r="D39" s="365"/>
      <c r="F39" s="384"/>
      <c r="G39" s="354">
        <f t="shared" ref="G39" si="3">C39-$B39</f>
        <v>0</v>
      </c>
      <c r="H39" s="355"/>
    </row>
    <row r="40" spans="1:9" x14ac:dyDescent="0.25">
      <c r="A40" s="108" t="s">
        <v>232</v>
      </c>
      <c r="B40" s="364">
        <v>102</v>
      </c>
      <c r="C40" s="229">
        <v>102</v>
      </c>
      <c r="D40" s="365"/>
      <c r="E40" s="108"/>
      <c r="F40" s="384"/>
      <c r="G40" s="354">
        <f>C40-$B40</f>
        <v>0</v>
      </c>
      <c r="H40" s="355"/>
    </row>
    <row r="41" spans="1:9" x14ac:dyDescent="0.25">
      <c r="A41" s="108" t="s">
        <v>233</v>
      </c>
      <c r="B41" s="366">
        <v>116</v>
      </c>
      <c r="C41" s="230">
        <v>0</v>
      </c>
      <c r="D41" s="367"/>
      <c r="E41" s="108"/>
      <c r="F41" s="384"/>
      <c r="G41" s="354">
        <f>C41-$B41</f>
        <v>-116</v>
      </c>
      <c r="H41" s="355"/>
    </row>
    <row r="42" spans="1:9" x14ac:dyDescent="0.25">
      <c r="A42" s="326" t="s">
        <v>196</v>
      </c>
      <c r="B42" s="359">
        <f>SUM(B36:B41)</f>
        <v>1385</v>
      </c>
      <c r="C42" s="360">
        <f>SUM(C36:C41)</f>
        <v>1385</v>
      </c>
      <c r="D42" s="361"/>
      <c r="E42" s="326"/>
      <c r="F42" s="385" t="s">
        <v>196</v>
      </c>
      <c r="G42" s="360">
        <f>SUM(G36:G41)</f>
        <v>0</v>
      </c>
      <c r="H42" s="361"/>
      <c r="I42" s="326"/>
    </row>
    <row r="43" spans="1:9" x14ac:dyDescent="0.25">
      <c r="A43" s="326"/>
      <c r="B43" s="326"/>
      <c r="C43" s="326"/>
      <c r="D43" s="326"/>
      <c r="E43" s="326"/>
      <c r="F43" s="326"/>
      <c r="G43" s="326"/>
      <c r="H43" s="326"/>
    </row>
    <row r="44" spans="1:9" x14ac:dyDescent="0.25">
      <c r="A44" s="343" t="s">
        <v>95</v>
      </c>
      <c r="B44" s="382" t="str">
        <f>C1</f>
        <v>FC 1.0/No Action</v>
      </c>
      <c r="C44" s="326" t="str">
        <f>G1</f>
        <v>FC 2.0</v>
      </c>
      <c r="D44" s="326"/>
    </row>
    <row r="45" spans="1:9" x14ac:dyDescent="0.25">
      <c r="A45" s="68" t="s">
        <v>97</v>
      </c>
      <c r="B45" s="373"/>
      <c r="C45" s="374"/>
      <c r="D45" s="375"/>
      <c r="E45" s="386"/>
    </row>
    <row r="46" spans="1:9" x14ac:dyDescent="0.25">
      <c r="A46" s="68" t="s">
        <v>99</v>
      </c>
      <c r="B46" s="376"/>
      <c r="C46" s="274"/>
      <c r="D46" s="377"/>
      <c r="E46" s="386"/>
    </row>
    <row r="47" spans="1:9" x14ac:dyDescent="0.25">
      <c r="A47" s="68" t="s">
        <v>100</v>
      </c>
      <c r="B47" s="376"/>
      <c r="C47" s="274"/>
      <c r="D47" s="377"/>
      <c r="E47" s="386"/>
    </row>
    <row r="48" spans="1:9" x14ac:dyDescent="0.25">
      <c r="A48" s="68" t="s">
        <v>96</v>
      </c>
      <c r="B48" s="376"/>
      <c r="C48" s="274"/>
      <c r="D48" s="377"/>
      <c r="E48" s="386"/>
    </row>
    <row r="49" spans="1:10" x14ac:dyDescent="0.25">
      <c r="A49" s="11" t="s">
        <v>101</v>
      </c>
      <c r="B49" s="376"/>
      <c r="C49" s="274"/>
      <c r="D49" s="377"/>
      <c r="E49" s="386"/>
    </row>
    <row r="50" spans="1:10" x14ac:dyDescent="0.25">
      <c r="A50" s="11" t="s">
        <v>102</v>
      </c>
      <c r="B50" s="376"/>
      <c r="C50" s="274"/>
      <c r="D50" s="377"/>
      <c r="E50" s="386"/>
    </row>
    <row r="51" spans="1:10" x14ac:dyDescent="0.25">
      <c r="A51" s="11" t="s">
        <v>94</v>
      </c>
      <c r="B51" s="378"/>
      <c r="C51" s="379"/>
      <c r="D51" s="380"/>
      <c r="E51" s="386"/>
    </row>
    <row r="53" spans="1:10" s="2" customFormat="1" x14ac:dyDescent="0.25">
      <c r="A53" s="4" t="s">
        <v>203</v>
      </c>
      <c r="B53" s="300">
        <v>0.01</v>
      </c>
      <c r="C53" s="301">
        <v>0.02</v>
      </c>
      <c r="D53" s="302">
        <v>0.05</v>
      </c>
      <c r="E53" s="4"/>
      <c r="F53" s="1"/>
      <c r="G53" s="1"/>
      <c r="H53" s="1"/>
      <c r="J53" s="1"/>
    </row>
    <row r="54" spans="1:10" x14ac:dyDescent="0.25">
      <c r="B54" s="10"/>
      <c r="C54" s="12"/>
      <c r="D54" s="12"/>
      <c r="E54" s="13"/>
      <c r="F54" s="2"/>
      <c r="G54" s="2"/>
      <c r="H54" s="2"/>
    </row>
    <row r="55" spans="1:10" x14ac:dyDescent="0.25">
      <c r="A55" s="4" t="s">
        <v>12</v>
      </c>
      <c r="B55" s="439">
        <v>4840</v>
      </c>
      <c r="C55" s="14" t="s">
        <v>104</v>
      </c>
    </row>
    <row r="56" spans="1:10" x14ac:dyDescent="0.25">
      <c r="B56" s="439">
        <f>B55/3</f>
        <v>1613.3333333333333</v>
      </c>
      <c r="C56" s="14" t="s">
        <v>8</v>
      </c>
      <c r="D56" s="441">
        <f>B56*1500</f>
        <v>2420000</v>
      </c>
      <c r="E56" s="6">
        <f>D56*0.25</f>
        <v>605000</v>
      </c>
    </row>
    <row r="57" spans="1:10" x14ac:dyDescent="0.25">
      <c r="B57" s="439">
        <f>B55*2/3</f>
        <v>3226.6666666666665</v>
      </c>
      <c r="C57" s="14" t="s">
        <v>9</v>
      </c>
      <c r="D57" s="441">
        <f>B57*1500</f>
        <v>4840000</v>
      </c>
      <c r="E57" s="6">
        <f>D57*0.5</f>
        <v>2420000</v>
      </c>
    </row>
    <row r="58" spans="1:10" x14ac:dyDescent="0.25">
      <c r="B58" s="440">
        <f>B55</f>
        <v>4840</v>
      </c>
      <c r="C58" s="15" t="s">
        <v>10</v>
      </c>
      <c r="D58" s="441">
        <f>B58*1500</f>
        <v>7260000</v>
      </c>
      <c r="E58" s="6">
        <f>D58*0.25</f>
        <v>1815000</v>
      </c>
    </row>
    <row r="59" spans="1:10" x14ac:dyDescent="0.25">
      <c r="E59" s="6">
        <f>SUM(E56:E58)</f>
        <v>4840000</v>
      </c>
    </row>
    <row r="60" spans="1:10" x14ac:dyDescent="0.25">
      <c r="D60" s="7"/>
      <c r="E60" s="8"/>
    </row>
    <row r="61" spans="1:10" x14ac:dyDescent="0.25">
      <c r="D61" s="6"/>
      <c r="E61" s="6"/>
    </row>
    <row r="62" spans="1:10" x14ac:dyDescent="0.25">
      <c r="D62" s="6"/>
      <c r="E62" s="6"/>
    </row>
    <row r="64" spans="1:10" x14ac:dyDescent="0.25">
      <c r="E64" s="5"/>
    </row>
    <row r="65" spans="4:5" x14ac:dyDescent="0.25">
      <c r="D65" s="7"/>
      <c r="E65" s="8"/>
    </row>
    <row r="66" spans="4:5" x14ac:dyDescent="0.25">
      <c r="D66" s="6"/>
      <c r="E66" s="6"/>
    </row>
    <row r="67" spans="4:5" x14ac:dyDescent="0.25">
      <c r="D67" s="6"/>
      <c r="E67" s="6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view="pageLayout" topLeftCell="A6" zoomScale="75" zoomScaleNormal="75" zoomScalePageLayoutView="75" workbookViewId="0">
      <selection activeCell="D45" sqref="D45"/>
    </sheetView>
  </sheetViews>
  <sheetFormatPr defaultColWidth="11" defaultRowHeight="15.75" x14ac:dyDescent="0.25"/>
  <cols>
    <col min="1" max="1" width="33.125" bestFit="1" customWidth="1"/>
    <col min="2" max="2" width="11.375" customWidth="1"/>
    <col min="3" max="5" width="13.375" customWidth="1"/>
    <col min="6" max="6" width="33.125" customWidth="1"/>
    <col min="7" max="7" width="11.125" customWidth="1"/>
    <col min="8" max="10" width="13.375" customWidth="1"/>
  </cols>
  <sheetData>
    <row r="1" spans="1:10" s="67" customFormat="1" x14ac:dyDescent="0.25">
      <c r="A1" s="67" t="str">
        <f>Project_Master!B14</f>
        <v>FC 1.0/No Action</v>
      </c>
      <c r="D1" s="480"/>
      <c r="F1" s="67" t="str">
        <f>Project_Master!B15</f>
        <v>FC 2.0</v>
      </c>
    </row>
    <row r="2" spans="1:10" s="108" customFormat="1" ht="12.75" x14ac:dyDescent="0.2">
      <c r="A2" s="108" t="s">
        <v>52</v>
      </c>
      <c r="B2" s="247">
        <v>3.3750000000000002E-2</v>
      </c>
      <c r="D2" s="323"/>
      <c r="E2" s="186"/>
      <c r="F2" s="108" t="s">
        <v>52</v>
      </c>
      <c r="G2" s="247">
        <v>3.3750000000000002E-2</v>
      </c>
      <c r="I2" s="323"/>
      <c r="J2" s="186"/>
    </row>
    <row r="3" spans="1:10" s="182" customFormat="1" ht="12.75" x14ac:dyDescent="0.2">
      <c r="A3" s="182" t="s">
        <v>146</v>
      </c>
      <c r="B3" s="27">
        <f>Project_Master!C6</f>
        <v>50</v>
      </c>
      <c r="F3" s="182" t="s">
        <v>146</v>
      </c>
      <c r="G3" s="27">
        <f>Project_Master!H6</f>
        <v>0</v>
      </c>
    </row>
    <row r="4" spans="1:10" s="67" customFormat="1" x14ac:dyDescent="0.25"/>
    <row r="5" spans="1:10" s="32" customFormat="1" ht="15" x14ac:dyDescent="0.25">
      <c r="A5" s="2" t="s">
        <v>204</v>
      </c>
      <c r="B5" s="2"/>
      <c r="C5" s="2"/>
      <c r="D5" s="2"/>
      <c r="E5" s="2"/>
      <c r="F5" s="2" t="s">
        <v>204</v>
      </c>
      <c r="G5" s="2"/>
      <c r="H5" s="2"/>
      <c r="I5" s="2"/>
      <c r="J5" s="2"/>
    </row>
    <row r="6" spans="1:10" s="34" customFormat="1" ht="15" x14ac:dyDescent="0.25">
      <c r="A6" s="1" t="s">
        <v>227</v>
      </c>
      <c r="B6" s="1" t="s">
        <v>165</v>
      </c>
      <c r="C6" s="1" t="s">
        <v>166</v>
      </c>
      <c r="D6" s="1" t="s">
        <v>167</v>
      </c>
      <c r="E6" s="1" t="s">
        <v>7</v>
      </c>
      <c r="F6" s="1" t="s">
        <v>227</v>
      </c>
      <c r="G6" s="1" t="s">
        <v>165</v>
      </c>
      <c r="H6" s="1" t="s">
        <v>166</v>
      </c>
      <c r="I6" s="1" t="s">
        <v>167</v>
      </c>
      <c r="J6" s="1" t="s">
        <v>7</v>
      </c>
    </row>
    <row r="7" spans="1:10" s="34" customFormat="1" ht="15" x14ac:dyDescent="0.25">
      <c r="A7" s="101" t="s">
        <v>152</v>
      </c>
      <c r="B7" s="200"/>
      <c r="C7" s="204"/>
      <c r="D7" s="204">
        <f>SUM(D8:D11)</f>
        <v>125852500</v>
      </c>
      <c r="E7" s="406"/>
      <c r="F7" s="101" t="s">
        <v>152</v>
      </c>
      <c r="G7" s="200"/>
      <c r="H7" s="204"/>
      <c r="I7" s="204">
        <f>SUM(I8:I11)</f>
        <v>125852500</v>
      </c>
      <c r="J7" s="207"/>
    </row>
    <row r="8" spans="1:10" s="34" customFormat="1" ht="15" x14ac:dyDescent="0.25">
      <c r="A8" s="195" t="s">
        <v>153</v>
      </c>
      <c r="B8" s="251">
        <v>1</v>
      </c>
      <c r="C8" s="252">
        <v>71319000</v>
      </c>
      <c r="D8" s="205">
        <f>B8*C8</f>
        <v>71319000</v>
      </c>
      <c r="E8" s="407" t="s">
        <v>228</v>
      </c>
      <c r="F8" s="195" t="s">
        <v>153</v>
      </c>
      <c r="G8" s="251">
        <v>1</v>
      </c>
      <c r="H8" s="252">
        <v>71319000</v>
      </c>
      <c r="I8" s="205">
        <f>G8*H8</f>
        <v>71319000</v>
      </c>
      <c r="J8" s="1"/>
    </row>
    <row r="9" spans="1:10" s="34" customFormat="1" ht="15" x14ac:dyDescent="0.25">
      <c r="A9" s="195" t="s">
        <v>154</v>
      </c>
      <c r="B9" s="193"/>
      <c r="C9" s="205"/>
      <c r="D9" s="205">
        <f>D8*0.5</f>
        <v>35659500</v>
      </c>
      <c r="E9" s="407"/>
      <c r="F9" s="195" t="s">
        <v>154</v>
      </c>
      <c r="G9" s="193"/>
      <c r="H9" s="205"/>
      <c r="I9" s="205">
        <f>I8*0.5</f>
        <v>35659500</v>
      </c>
      <c r="J9" s="1"/>
    </row>
    <row r="10" spans="1:10" s="34" customFormat="1" ht="15" x14ac:dyDescent="0.25">
      <c r="A10" s="195" t="s">
        <v>155</v>
      </c>
      <c r="B10" s="251">
        <v>1</v>
      </c>
      <c r="C10" s="252">
        <v>9437000</v>
      </c>
      <c r="D10" s="205">
        <f>B10*C10</f>
        <v>9437000</v>
      </c>
      <c r="E10" s="407" t="s">
        <v>228</v>
      </c>
      <c r="F10" s="195" t="s">
        <v>155</v>
      </c>
      <c r="G10" s="251">
        <v>1</v>
      </c>
      <c r="H10" s="252">
        <v>9437000</v>
      </c>
      <c r="I10" s="205">
        <f>G10*H10</f>
        <v>9437000</v>
      </c>
      <c r="J10" s="71"/>
    </row>
    <row r="11" spans="1:10" s="34" customFormat="1" ht="15" x14ac:dyDescent="0.25">
      <c r="A11" s="199" t="s">
        <v>156</v>
      </c>
      <c r="B11" s="203"/>
      <c r="C11" s="206"/>
      <c r="D11" s="206">
        <f>D10</f>
        <v>9437000</v>
      </c>
      <c r="E11" s="408"/>
      <c r="F11" s="199" t="s">
        <v>156</v>
      </c>
      <c r="G11" s="203"/>
      <c r="H11" s="206"/>
      <c r="I11" s="206">
        <f>I10</f>
        <v>9437000</v>
      </c>
      <c r="J11" s="35"/>
    </row>
    <row r="12" spans="1:10" s="34" customFormat="1" ht="15" x14ac:dyDescent="0.25">
      <c r="A12" s="195"/>
      <c r="B12" s="1"/>
      <c r="C12" s="94"/>
      <c r="D12" s="208"/>
      <c r="E12" s="407"/>
      <c r="F12" s="195"/>
      <c r="G12" s="1"/>
      <c r="H12" s="94"/>
      <c r="I12" s="208"/>
      <c r="J12" s="1"/>
    </row>
    <row r="13" spans="1:10" s="34" customFormat="1" ht="15" x14ac:dyDescent="0.25">
      <c r="A13" s="1" t="s">
        <v>246</v>
      </c>
      <c r="B13" s="1" t="s">
        <v>169</v>
      </c>
      <c r="C13" s="1" t="s">
        <v>170</v>
      </c>
      <c r="D13" s="1" t="s">
        <v>171</v>
      </c>
      <c r="E13" s="407" t="s">
        <v>274</v>
      </c>
      <c r="F13" s="1" t="s">
        <v>246</v>
      </c>
      <c r="G13" s="1" t="s">
        <v>169</v>
      </c>
      <c r="H13" s="1" t="s">
        <v>170</v>
      </c>
      <c r="I13" s="1" t="s">
        <v>171</v>
      </c>
      <c r="J13" s="407" t="s">
        <v>274</v>
      </c>
    </row>
    <row r="14" spans="1:10" s="34" customFormat="1" ht="15" x14ac:dyDescent="0.25">
      <c r="A14" s="209" t="s">
        <v>172</v>
      </c>
      <c r="B14" s="253">
        <v>1</v>
      </c>
      <c r="C14" s="254">
        <v>733000</v>
      </c>
      <c r="D14" s="204">
        <f>B14*C14</f>
        <v>733000</v>
      </c>
      <c r="E14" s="33">
        <v>10</v>
      </c>
      <c r="F14" s="209" t="s">
        <v>172</v>
      </c>
      <c r="G14" s="253">
        <v>1</v>
      </c>
      <c r="H14" s="254">
        <v>733000</v>
      </c>
      <c r="I14" s="204">
        <f>G14*H14</f>
        <v>733000</v>
      </c>
      <c r="J14" s="33">
        <v>10</v>
      </c>
    </row>
    <row r="15" spans="1:10" s="34" customFormat="1" ht="15" x14ac:dyDescent="0.25">
      <c r="A15" s="144" t="s">
        <v>173</v>
      </c>
      <c r="B15" s="251">
        <v>5</v>
      </c>
      <c r="C15" s="252">
        <v>77000</v>
      </c>
      <c r="D15" s="205">
        <f t="shared" ref="D15:D17" si="0">B15*C15</f>
        <v>385000</v>
      </c>
      <c r="E15" s="1">
        <v>10</v>
      </c>
      <c r="F15" s="144" t="s">
        <v>173</v>
      </c>
      <c r="G15" s="251">
        <v>5</v>
      </c>
      <c r="H15" s="252">
        <v>77000</v>
      </c>
      <c r="I15" s="205">
        <f t="shared" ref="I15:I17" si="1">G15*H15</f>
        <v>385000</v>
      </c>
      <c r="J15" s="1">
        <v>10</v>
      </c>
    </row>
    <row r="16" spans="1:10" s="34" customFormat="1" ht="15" x14ac:dyDescent="0.25">
      <c r="A16" s="144" t="s">
        <v>174</v>
      </c>
      <c r="B16" s="251">
        <v>0</v>
      </c>
      <c r="C16" s="252">
        <v>0</v>
      </c>
      <c r="D16" s="205">
        <f t="shared" si="0"/>
        <v>0</v>
      </c>
      <c r="E16" s="407"/>
      <c r="F16" s="144" t="s">
        <v>174</v>
      </c>
      <c r="G16" s="251">
        <v>0</v>
      </c>
      <c r="H16" s="252">
        <v>0</v>
      </c>
      <c r="I16" s="205">
        <f t="shared" si="1"/>
        <v>0</v>
      </c>
      <c r="J16" s="1"/>
    </row>
    <row r="17" spans="1:10" s="34" customFormat="1" ht="15" x14ac:dyDescent="0.25">
      <c r="A17" s="210" t="s">
        <v>175</v>
      </c>
      <c r="B17" s="255">
        <v>0</v>
      </c>
      <c r="C17" s="256">
        <v>0</v>
      </c>
      <c r="D17" s="206">
        <f t="shared" si="0"/>
        <v>0</v>
      </c>
      <c r="E17" s="409"/>
      <c r="F17" s="210" t="s">
        <v>175</v>
      </c>
      <c r="G17" s="255">
        <v>0</v>
      </c>
      <c r="H17" s="256">
        <v>0</v>
      </c>
      <c r="I17" s="206">
        <f t="shared" si="1"/>
        <v>0</v>
      </c>
      <c r="J17" s="281"/>
    </row>
    <row r="18" spans="1:10" s="34" customFormat="1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32" customFormat="1" ht="15" x14ac:dyDescent="0.25">
      <c r="A19" s="2" t="s">
        <v>226</v>
      </c>
      <c r="B19" s="2"/>
      <c r="C19" s="2"/>
      <c r="D19" s="2"/>
      <c r="E19" s="2"/>
      <c r="F19" s="2" t="s">
        <v>226</v>
      </c>
      <c r="G19" s="2"/>
      <c r="H19" s="2"/>
      <c r="I19" s="2"/>
      <c r="J19" s="2"/>
    </row>
    <row r="20" spans="1:10" s="34" customFormat="1" ht="15" x14ac:dyDescent="0.25">
      <c r="A20" s="1" t="s">
        <v>158</v>
      </c>
      <c r="B20" s="1" t="s">
        <v>161</v>
      </c>
      <c r="C20" s="1" t="s">
        <v>162</v>
      </c>
      <c r="D20" s="34" t="s">
        <v>168</v>
      </c>
      <c r="E20" s="1"/>
      <c r="F20" s="1" t="s">
        <v>158</v>
      </c>
      <c r="G20" s="1" t="s">
        <v>161</v>
      </c>
      <c r="H20" s="1" t="s">
        <v>162</v>
      </c>
      <c r="I20" s="34" t="s">
        <v>168</v>
      </c>
      <c r="J20" s="1"/>
    </row>
    <row r="21" spans="1:10" s="34" customFormat="1" ht="15" x14ac:dyDescent="0.25">
      <c r="A21" s="253" t="s">
        <v>160</v>
      </c>
      <c r="B21" s="257">
        <v>0.1</v>
      </c>
      <c r="C21" s="345">
        <f>B21-0</f>
        <v>0.1</v>
      </c>
      <c r="D21" s="260">
        <v>6.6666666666666666E-2</v>
      </c>
      <c r="E21" s="200">
        <f>C21*D21</f>
        <v>6.6666666666666671E-3</v>
      </c>
      <c r="F21" s="253" t="s">
        <v>160</v>
      </c>
      <c r="G21" s="257">
        <v>0.1</v>
      </c>
      <c r="H21" s="345">
        <f>G21-0</f>
        <v>0.1</v>
      </c>
      <c r="I21" s="260">
        <v>6.6666666666666666E-2</v>
      </c>
      <c r="J21" s="200">
        <f>H21*I21</f>
        <v>6.6666666666666671E-3</v>
      </c>
    </row>
    <row r="22" spans="1:10" s="34" customFormat="1" ht="15" x14ac:dyDescent="0.25">
      <c r="A22" s="251" t="s">
        <v>192</v>
      </c>
      <c r="B22" s="258">
        <v>0.05</v>
      </c>
      <c r="C22" s="194">
        <f>B21-B22</f>
        <v>0.05</v>
      </c>
      <c r="D22" s="261">
        <v>0.13333333333333333</v>
      </c>
      <c r="E22" s="193">
        <f>C22*D22</f>
        <v>6.6666666666666671E-3</v>
      </c>
      <c r="F22" s="251" t="s">
        <v>192</v>
      </c>
      <c r="G22" s="258">
        <v>0.05</v>
      </c>
      <c r="H22" s="194">
        <f>G21-G22</f>
        <v>0.05</v>
      </c>
      <c r="I22" s="261">
        <v>0.13333333333333333</v>
      </c>
      <c r="J22" s="193">
        <f>H22*I22</f>
        <v>6.6666666666666671E-3</v>
      </c>
    </row>
    <row r="23" spans="1:10" s="34" customFormat="1" ht="15" x14ac:dyDescent="0.25">
      <c r="A23" s="251" t="s">
        <v>223</v>
      </c>
      <c r="B23" s="258">
        <v>0.02</v>
      </c>
      <c r="C23" s="194">
        <f>B22-B23</f>
        <v>3.0000000000000002E-2</v>
      </c>
      <c r="D23" s="261">
        <v>0.33333333333333331</v>
      </c>
      <c r="E23" s="193">
        <f t="shared" ref="E23:E25" si="2">C23*D23</f>
        <v>0.01</v>
      </c>
      <c r="F23" s="251" t="s">
        <v>223</v>
      </c>
      <c r="G23" s="258">
        <v>0.02</v>
      </c>
      <c r="H23" s="194">
        <f>G22-G23</f>
        <v>3.0000000000000002E-2</v>
      </c>
      <c r="I23" s="261">
        <v>0.33333333333333331</v>
      </c>
      <c r="J23" s="193">
        <f t="shared" ref="J23:J25" si="3">H23*I23</f>
        <v>0.01</v>
      </c>
    </row>
    <row r="24" spans="1:10" s="34" customFormat="1" ht="15" x14ac:dyDescent="0.25">
      <c r="A24" s="251" t="s">
        <v>159</v>
      </c>
      <c r="B24" s="258">
        <v>0.01</v>
      </c>
      <c r="C24" s="194">
        <f>B23-B24</f>
        <v>0.01</v>
      </c>
      <c r="D24" s="261">
        <v>0.66666666666666663</v>
      </c>
      <c r="E24" s="193">
        <f t="shared" si="2"/>
        <v>6.6666666666666662E-3</v>
      </c>
      <c r="F24" s="251" t="s">
        <v>159</v>
      </c>
      <c r="G24" s="258">
        <v>0.01</v>
      </c>
      <c r="H24" s="194">
        <f>G23-G24</f>
        <v>0.01</v>
      </c>
      <c r="I24" s="261">
        <v>0.66666666666666663</v>
      </c>
      <c r="J24" s="193">
        <f t="shared" si="3"/>
        <v>6.6666666666666662E-3</v>
      </c>
    </row>
    <row r="25" spans="1:10" s="34" customFormat="1" ht="15" x14ac:dyDescent="0.25">
      <c r="A25" s="251" t="s">
        <v>225</v>
      </c>
      <c r="B25" s="258">
        <f>1/150</f>
        <v>6.6666666666666671E-3</v>
      </c>
      <c r="C25" s="194">
        <f>B24-B25</f>
        <v>3.3333333333333331E-3</v>
      </c>
      <c r="D25" s="261">
        <v>1</v>
      </c>
      <c r="E25" s="193">
        <f t="shared" si="2"/>
        <v>3.3333333333333331E-3</v>
      </c>
      <c r="F25" s="251" t="s">
        <v>225</v>
      </c>
      <c r="G25" s="258">
        <f>1/150</f>
        <v>6.6666666666666671E-3</v>
      </c>
      <c r="H25" s="194">
        <f>G24-G25</f>
        <v>3.3333333333333331E-3</v>
      </c>
      <c r="I25" s="261">
        <v>1</v>
      </c>
      <c r="J25" s="193">
        <f t="shared" si="3"/>
        <v>3.3333333333333331E-3</v>
      </c>
    </row>
    <row r="26" spans="1:10" s="34" customFormat="1" ht="15" x14ac:dyDescent="0.25">
      <c r="A26" s="255"/>
      <c r="B26" s="259"/>
      <c r="C26" s="201"/>
      <c r="D26" s="262"/>
      <c r="E26" s="203"/>
      <c r="F26" s="255"/>
      <c r="G26" s="259"/>
      <c r="H26" s="201"/>
      <c r="I26" s="262"/>
      <c r="J26" s="203"/>
    </row>
    <row r="27" spans="1:10" s="32" customFormat="1" ht="15" x14ac:dyDescent="0.25">
      <c r="A27" s="2" t="s">
        <v>241</v>
      </c>
      <c r="B27" s="2"/>
      <c r="C27" s="202">
        <f>SUM(C21:C23)</f>
        <v>0.18000000000000002</v>
      </c>
      <c r="D27" s="71" t="s">
        <v>184</v>
      </c>
      <c r="E27" s="202">
        <f>SUM(E21:E23)</f>
        <v>2.3333333333333334E-2</v>
      </c>
      <c r="F27" s="2" t="s">
        <v>241</v>
      </c>
      <c r="G27" s="2"/>
      <c r="H27" s="202">
        <f>SUM(H21:H23)</f>
        <v>0.18000000000000002</v>
      </c>
      <c r="I27" s="71" t="s">
        <v>184</v>
      </c>
      <c r="J27" s="202">
        <f>SUM(J21:J23)</f>
        <v>2.3333333333333334E-2</v>
      </c>
    </row>
    <row r="28" spans="1:10" s="78" customFormat="1" ht="15" x14ac:dyDescent="0.25">
      <c r="C28" s="381"/>
      <c r="D28" s="99"/>
      <c r="H28" s="381"/>
      <c r="I28" s="99"/>
    </row>
    <row r="29" spans="1:10" s="70" customFormat="1" ht="15" x14ac:dyDescent="0.25">
      <c r="A29" s="79"/>
      <c r="B29" s="97"/>
      <c r="C29" s="248">
        <v>-0.1</v>
      </c>
      <c r="D29" s="79"/>
      <c r="E29" s="249">
        <v>0.3</v>
      </c>
      <c r="F29" s="79"/>
      <c r="G29" s="97"/>
      <c r="H29" s="248">
        <v>-0.1</v>
      </c>
      <c r="I29" s="79"/>
      <c r="J29" s="249">
        <v>0.3</v>
      </c>
    </row>
    <row r="30" spans="1:10" s="78" customFormat="1" ht="15" x14ac:dyDescent="0.25">
      <c r="A30" s="93" t="s">
        <v>275</v>
      </c>
      <c r="B30" s="95"/>
      <c r="C30" s="95" t="s">
        <v>6</v>
      </c>
      <c r="D30" s="96" t="s">
        <v>4</v>
      </c>
      <c r="E30" s="96" t="s">
        <v>5</v>
      </c>
      <c r="F30" s="93" t="s">
        <v>163</v>
      </c>
      <c r="G30" s="95"/>
      <c r="H30" s="95" t="s">
        <v>6</v>
      </c>
      <c r="I30" s="96" t="s">
        <v>4</v>
      </c>
      <c r="J30" s="96" t="s">
        <v>5</v>
      </c>
    </row>
    <row r="31" spans="1:10" s="103" customFormat="1" ht="12.75" x14ac:dyDescent="0.2">
      <c r="A31" s="101" t="s">
        <v>152</v>
      </c>
      <c r="B31" s="146"/>
      <c r="C31" s="102">
        <f t="shared" ref="C31:C36" si="4">D31*(1+$C$29)</f>
        <v>2265345</v>
      </c>
      <c r="D31" s="102">
        <f>(D7*D23*B23)+(D7*D22*B22)+(D7*D21*B21)</f>
        <v>2517050</v>
      </c>
      <c r="E31" s="102">
        <f t="shared" ref="E31:E36" si="5">D31*(1+$E$29)</f>
        <v>3272165</v>
      </c>
      <c r="F31" s="101" t="s">
        <v>152</v>
      </c>
      <c r="G31" s="146"/>
      <c r="H31" s="102">
        <f t="shared" ref="H31:H37" si="6">I31*(1+$H$29)</f>
        <v>2265345</v>
      </c>
      <c r="I31" s="102">
        <f>(I7*I23*G23)+(I7*I22*G22)+(I7*I21*G21)</f>
        <v>2517050</v>
      </c>
      <c r="J31" s="102">
        <f t="shared" ref="J31:J37" si="7">I31*(1+$J$29)</f>
        <v>3272165</v>
      </c>
    </row>
    <row r="32" spans="1:10" s="103" customFormat="1" ht="12.75" x14ac:dyDescent="0.2">
      <c r="A32" s="144" t="s">
        <v>157</v>
      </c>
      <c r="B32" s="147"/>
      <c r="C32" s="104">
        <f t="shared" si="4"/>
        <v>65970</v>
      </c>
      <c r="D32" s="104">
        <f>D14/E14</f>
        <v>73300</v>
      </c>
      <c r="E32" s="104">
        <f t="shared" si="5"/>
        <v>95290</v>
      </c>
      <c r="F32" s="144" t="s">
        <v>157</v>
      </c>
      <c r="G32" s="147"/>
      <c r="H32" s="104">
        <f t="shared" si="6"/>
        <v>65970</v>
      </c>
      <c r="I32" s="104">
        <f>I14/J14</f>
        <v>73300</v>
      </c>
      <c r="J32" s="104">
        <f t="shared" si="7"/>
        <v>95290</v>
      </c>
    </row>
    <row r="33" spans="1:10" s="103" customFormat="1" ht="12.75" x14ac:dyDescent="0.2">
      <c r="A33" s="144" t="s">
        <v>128</v>
      </c>
      <c r="B33" s="147"/>
      <c r="C33" s="104">
        <f t="shared" si="4"/>
        <v>6930</v>
      </c>
      <c r="D33" s="104">
        <f>C15/E15</f>
        <v>7700</v>
      </c>
      <c r="E33" s="104">
        <f t="shared" si="5"/>
        <v>10010</v>
      </c>
      <c r="F33" s="144" t="s">
        <v>128</v>
      </c>
      <c r="G33" s="147"/>
      <c r="H33" s="104">
        <f t="shared" si="6"/>
        <v>6930</v>
      </c>
      <c r="I33" s="104">
        <f>H15/J15</f>
        <v>7700</v>
      </c>
      <c r="J33" s="104">
        <f t="shared" si="7"/>
        <v>10010</v>
      </c>
    </row>
    <row r="34" spans="1:10" s="103" customFormat="1" ht="12.75" x14ac:dyDescent="0.2">
      <c r="A34" s="144" t="s">
        <v>129</v>
      </c>
      <c r="B34" s="147"/>
      <c r="C34" s="104">
        <f t="shared" si="4"/>
        <v>0</v>
      </c>
      <c r="D34" s="104">
        <f>D16</f>
        <v>0</v>
      </c>
      <c r="E34" s="104">
        <f t="shared" si="5"/>
        <v>0</v>
      </c>
      <c r="F34" s="144" t="s">
        <v>129</v>
      </c>
      <c r="G34" s="147"/>
      <c r="H34" s="104">
        <f t="shared" si="6"/>
        <v>0</v>
      </c>
      <c r="I34" s="104">
        <f>I16</f>
        <v>0</v>
      </c>
      <c r="J34" s="104">
        <f t="shared" si="7"/>
        <v>0</v>
      </c>
    </row>
    <row r="35" spans="1:10" s="103" customFormat="1" ht="12.75" x14ac:dyDescent="0.2">
      <c r="A35" s="144" t="s">
        <v>131</v>
      </c>
      <c r="B35" s="148"/>
      <c r="C35" s="104">
        <f t="shared" si="4"/>
        <v>0</v>
      </c>
      <c r="D35" s="104">
        <f>D17</f>
        <v>0</v>
      </c>
      <c r="E35" s="104">
        <f t="shared" si="5"/>
        <v>0</v>
      </c>
      <c r="F35" s="144" t="s">
        <v>131</v>
      </c>
      <c r="G35" s="148"/>
      <c r="H35" s="104">
        <f t="shared" si="6"/>
        <v>0</v>
      </c>
      <c r="I35" s="104">
        <f>I17</f>
        <v>0</v>
      </c>
      <c r="J35" s="104">
        <f t="shared" si="7"/>
        <v>0</v>
      </c>
    </row>
    <row r="36" spans="1:10" s="103" customFormat="1" ht="12.75" x14ac:dyDescent="0.2">
      <c r="A36" s="144" t="s">
        <v>130</v>
      </c>
      <c r="C36" s="324">
        <f t="shared" si="4"/>
        <v>73360.800000000003</v>
      </c>
      <c r="D36" s="324">
        <v>81512</v>
      </c>
      <c r="E36" s="324">
        <f t="shared" si="5"/>
        <v>105965.6</v>
      </c>
      <c r="F36" s="144" t="s">
        <v>224</v>
      </c>
      <c r="H36" s="324">
        <f t="shared" si="6"/>
        <v>73360.800000000003</v>
      </c>
      <c r="I36" s="324">
        <v>81512</v>
      </c>
      <c r="J36" s="324">
        <f t="shared" si="7"/>
        <v>105965.6</v>
      </c>
    </row>
    <row r="37" spans="1:10" s="108" customFormat="1" ht="12.75" x14ac:dyDescent="0.2">
      <c r="A37" s="143" t="s">
        <v>132</v>
      </c>
      <c r="B37" s="149"/>
      <c r="C37" s="250">
        <f>D37*(1+$C$29)</f>
        <v>0</v>
      </c>
      <c r="D37" s="250">
        <v>0</v>
      </c>
      <c r="E37" s="250">
        <f>D37*(1+$E$29)</f>
        <v>0</v>
      </c>
      <c r="F37" s="143" t="s">
        <v>132</v>
      </c>
      <c r="G37" s="149"/>
      <c r="H37" s="250">
        <f t="shared" si="6"/>
        <v>0</v>
      </c>
      <c r="I37" s="250">
        <v>0</v>
      </c>
      <c r="J37" s="250">
        <f t="shared" si="7"/>
        <v>0</v>
      </c>
    </row>
    <row r="38" spans="1:10" s="198" customFormat="1" ht="12.75" x14ac:dyDescent="0.2">
      <c r="A38" s="196"/>
      <c r="B38" s="149"/>
      <c r="C38" s="197"/>
      <c r="D38" s="197"/>
      <c r="E38" s="197"/>
      <c r="F38" s="196"/>
      <c r="G38" s="149"/>
      <c r="H38" s="197"/>
      <c r="I38" s="197"/>
      <c r="J38" s="197"/>
    </row>
    <row r="39" spans="1:10" s="32" customFormat="1" ht="15" x14ac:dyDescent="0.25">
      <c r="A39" s="39" t="s">
        <v>164</v>
      </c>
      <c r="B39" s="39"/>
      <c r="C39" s="351">
        <f>D39*0.9</f>
        <v>2411605.8000000003</v>
      </c>
      <c r="D39" s="351">
        <f>SUM(D31:D37)</f>
        <v>2679562</v>
      </c>
      <c r="E39" s="351">
        <f>D39*1.3</f>
        <v>3483430.6</v>
      </c>
      <c r="F39" s="39" t="s">
        <v>164</v>
      </c>
      <c r="G39" s="39"/>
      <c r="H39" s="351">
        <f>I39*0.9</f>
        <v>2411605.8000000003</v>
      </c>
      <c r="I39" s="351">
        <f>SUM(I31:I37)</f>
        <v>2679562</v>
      </c>
      <c r="J39" s="351">
        <f>I39*1.3</f>
        <v>3483430.6</v>
      </c>
    </row>
    <row r="40" spans="1:10" s="34" customFormat="1" ht="15" x14ac:dyDescent="0.25"/>
    <row r="41" spans="1:10" s="32" customFormat="1" ht="15" x14ac:dyDescent="0.25">
      <c r="A41" s="39" t="str">
        <f>CONCATENATE("Net Present Value: ",$B$3," years, ", $B$2*100,"% discount rate")</f>
        <v>Net Present Value: 50 years, 3.375% discount rate</v>
      </c>
      <c r="B41" s="39"/>
      <c r="C41" s="184">
        <f>IF($B$2=0,C39*$B$3,C39*((1-((1+$B$2)^-($B$3)))/$B$2))</f>
        <v>57863830.130407393</v>
      </c>
      <c r="D41" s="184">
        <f>IF($B$2=0,D39*$B$3,D39*((1-((1+$B$2)^-($B$3)))/$B$2))</f>
        <v>64293144.589341544</v>
      </c>
      <c r="E41" s="184">
        <f>IF($B$2=0,E39*$B$3,E39*((1-((1+$B$2)^-($B$3)))/$B$2))</f>
        <v>83581087.96614401</v>
      </c>
      <c r="F41" s="39" t="str">
        <f>CONCATENATE("Net Present Value: ",$B$3," years, ", $B$2*100,"% discount rate")</f>
        <v>Net Present Value: 50 years, 3.375% discount rate</v>
      </c>
      <c r="G41" s="39"/>
      <c r="H41" s="184">
        <f>IF($B$2=0,H39*$B$3,H39*((1-((1+$B$2)^-($B$3)))/$B$2))</f>
        <v>57863830.130407393</v>
      </c>
      <c r="I41" s="184">
        <f>IF($B$2=0,I39*$B$3,I39*((1-((1+$B$2)^-($B$3)))/$B$2))</f>
        <v>64293144.589341544</v>
      </c>
      <c r="J41" s="184">
        <f>IF($B$2=0,J39*$B$3,J39*((1-((1+$B$2)^-($B$3)))/$B$2))</f>
        <v>83581087.96614401</v>
      </c>
    </row>
    <row r="42" spans="1:10" s="34" customFormat="1" ht="15" x14ac:dyDescent="0.25">
      <c r="A42" s="1"/>
      <c r="B42" s="1"/>
      <c r="C42" s="1"/>
      <c r="D42" s="1"/>
      <c r="E42" s="1"/>
      <c r="F42" s="346"/>
      <c r="G42" s="346"/>
      <c r="H42" s="346"/>
    </row>
    <row r="43" spans="1:10" s="34" customFormat="1" ht="15" x14ac:dyDescent="0.25">
      <c r="A43" s="1"/>
      <c r="B43" s="1"/>
      <c r="C43" s="1"/>
      <c r="D43" s="1"/>
      <c r="E43" s="1"/>
      <c r="F43" s="346"/>
      <c r="G43" s="346"/>
      <c r="H43" s="346"/>
    </row>
    <row r="44" spans="1:10" s="34" customFormat="1" ht="15" x14ac:dyDescent="0.25">
      <c r="A44" s="1" t="s">
        <v>245</v>
      </c>
      <c r="B44" s="1" t="s">
        <v>276</v>
      </c>
      <c r="C44" s="442">
        <f>C31/1000000</f>
        <v>2.2653449999999999</v>
      </c>
      <c r="D44" s="442">
        <f t="shared" ref="D44:E44" si="8">D31/1000000</f>
        <v>2.5170499999999998</v>
      </c>
      <c r="E44" s="442">
        <f t="shared" si="8"/>
        <v>3.2721650000000002</v>
      </c>
      <c r="F44" s="1" t="s">
        <v>245</v>
      </c>
      <c r="G44" s="1" t="s">
        <v>276</v>
      </c>
      <c r="H44" s="442">
        <f>H31/1000000</f>
        <v>2.2653449999999999</v>
      </c>
      <c r="I44" s="442">
        <f t="shared" ref="I44:J44" si="9">I31/1000000</f>
        <v>2.5170499999999998</v>
      </c>
      <c r="J44" s="442">
        <f t="shared" si="9"/>
        <v>3.2721650000000002</v>
      </c>
    </row>
    <row r="45" spans="1:10" s="34" customFormat="1" ht="15" x14ac:dyDescent="0.25">
      <c r="A45" s="1"/>
      <c r="B45" s="1" t="s">
        <v>15</v>
      </c>
      <c r="C45" s="443">
        <f>IF($B$2=0,C44*$B$3,C44*((1-((1+$B$2)^-($B$3)))/$B$2))</f>
        <v>54.354463016620592</v>
      </c>
      <c r="D45" s="443">
        <f>IF($B$2=0,D44*$B$3,D44*((1-((1+$B$2)^-($B$3)))/$B$2))</f>
        <v>60.393847796245105</v>
      </c>
      <c r="E45" s="443">
        <f>IF($B$2=0,E44*$B$3,E44*((1-((1+$B$2)^-($B$3)))/$B$2))</f>
        <v>78.512002135118649</v>
      </c>
      <c r="F45" s="1"/>
      <c r="G45" s="1" t="s">
        <v>15</v>
      </c>
      <c r="H45" s="443">
        <f>IF($B$2=0,H44*$B$3,H44*((1-((1+$B$2)^-($B$3)))/$B$2))</f>
        <v>54.354463016620592</v>
      </c>
      <c r="I45" s="443">
        <f>IF($B$2=0,I44*$B$3,I44*((1-((1+$B$2)^-($B$3)))/$B$2))</f>
        <v>60.393847796245105</v>
      </c>
      <c r="J45" s="443">
        <f>IF($B$2=0,J44*$B$3,J44*((1-((1+$B$2)^-($B$3)))/$B$2))</f>
        <v>78.512002135118649</v>
      </c>
    </row>
    <row r="46" spans="1:10" s="34" customFormat="1" ht="15" x14ac:dyDescent="0.25"/>
    <row r="47" spans="1:10" s="34" customFormat="1" ht="15" x14ac:dyDescent="0.25">
      <c r="A47" s="1" t="s">
        <v>247</v>
      </c>
      <c r="B47" s="1" t="s">
        <v>276</v>
      </c>
      <c r="C47" s="445">
        <f>(C32+C33)/1000000</f>
        <v>7.2900000000000006E-2</v>
      </c>
      <c r="D47" s="445">
        <f t="shared" ref="D47:E47" si="10">(D32+D33)/1000000</f>
        <v>8.1000000000000003E-2</v>
      </c>
      <c r="E47" s="445">
        <f t="shared" si="10"/>
        <v>0.1053</v>
      </c>
      <c r="F47" s="1" t="s">
        <v>247</v>
      </c>
      <c r="G47" s="1" t="s">
        <v>276</v>
      </c>
      <c r="H47" s="445">
        <f>(H32+H33)/1000000</f>
        <v>7.2900000000000006E-2</v>
      </c>
      <c r="I47" s="445">
        <f t="shared" ref="I47:J47" si="11">(I32+I33)/1000000</f>
        <v>8.1000000000000003E-2</v>
      </c>
      <c r="J47" s="445">
        <f t="shared" si="11"/>
        <v>0.1053</v>
      </c>
    </row>
    <row r="48" spans="1:10" s="34" customFormat="1" ht="15" x14ac:dyDescent="0.25">
      <c r="A48" s="1"/>
      <c r="B48" s="1" t="s">
        <v>15</v>
      </c>
      <c r="C48" s="443">
        <f>C47*C54</f>
        <v>1.7491553621685183</v>
      </c>
      <c r="D48" s="443">
        <f>D47*D54</f>
        <v>1.94350595796502</v>
      </c>
      <c r="E48" s="443">
        <f>E47*E54</f>
        <v>2.526557745354526</v>
      </c>
      <c r="F48" s="1"/>
      <c r="G48" s="1" t="s">
        <v>15</v>
      </c>
      <c r="H48" s="443">
        <f>H47*H54</f>
        <v>1.7491553621685183</v>
      </c>
      <c r="I48" s="443">
        <f>I47*I54</f>
        <v>1.94350595796502</v>
      </c>
      <c r="J48" s="443">
        <f>J47*J54</f>
        <v>2.526557745354526</v>
      </c>
    </row>
    <row r="49" spans="1:10" s="34" customFormat="1" ht="15" x14ac:dyDescent="0.25">
      <c r="A49" s="1"/>
      <c r="B49" s="1"/>
      <c r="C49" s="443"/>
      <c r="D49" s="443"/>
      <c r="E49" s="443"/>
      <c r="F49" s="1"/>
      <c r="G49" s="1"/>
      <c r="H49" s="443"/>
      <c r="I49" s="443"/>
      <c r="J49" s="443"/>
    </row>
    <row r="50" spans="1:10" s="34" customFormat="1" ht="15" x14ac:dyDescent="0.25">
      <c r="A50" s="1" t="s">
        <v>278</v>
      </c>
      <c r="B50" s="1" t="s">
        <v>276</v>
      </c>
      <c r="C50" s="442">
        <f>C36/1000000</f>
        <v>7.3360800000000004E-2</v>
      </c>
      <c r="D50" s="442">
        <f>D36/1000000</f>
        <v>8.1512000000000001E-2</v>
      </c>
      <c r="E50" s="442">
        <f>E36/1000000</f>
        <v>0.10596560000000001</v>
      </c>
      <c r="F50" s="1" t="s">
        <v>248</v>
      </c>
      <c r="G50" s="1" t="s">
        <v>276</v>
      </c>
      <c r="H50" s="442">
        <f>H36/1000000</f>
        <v>7.3360800000000004E-2</v>
      </c>
      <c r="I50" s="442">
        <f>I36/1000000</f>
        <v>8.1512000000000001E-2</v>
      </c>
      <c r="J50" s="442">
        <f>J36/1000000</f>
        <v>0.10596560000000001</v>
      </c>
    </row>
    <row r="51" spans="1:10" s="34" customFormat="1" ht="15" x14ac:dyDescent="0.25">
      <c r="A51" s="1"/>
      <c r="B51" s="1" t="s">
        <v>15</v>
      </c>
      <c r="C51" s="443">
        <f>C50*C54</f>
        <v>1.7602117516182747</v>
      </c>
      <c r="D51" s="443">
        <f>D50*D54</f>
        <v>1.9557908351314162</v>
      </c>
      <c r="E51" s="443">
        <f>E50*E54</f>
        <v>2.5425280856708414</v>
      </c>
      <c r="F51" s="1"/>
      <c r="G51" s="1" t="s">
        <v>15</v>
      </c>
      <c r="H51" s="443">
        <f>H50*H54</f>
        <v>1.7602117516182747</v>
      </c>
      <c r="I51" s="443">
        <f>I50*I54</f>
        <v>1.9557908351314162</v>
      </c>
      <c r="J51" s="443">
        <f>J50*J54</f>
        <v>2.5425280856708414</v>
      </c>
    </row>
    <row r="52" spans="1:10" s="34" customFormat="1" ht="15" x14ac:dyDescent="0.25">
      <c r="A52" s="1"/>
      <c r="B52" s="1"/>
      <c r="C52" s="1"/>
      <c r="D52" s="1"/>
      <c r="E52" s="1"/>
    </row>
    <row r="53" spans="1:10" s="34" customFormat="1" ht="15" x14ac:dyDescent="0.25">
      <c r="A53" s="1"/>
      <c r="B53" s="1"/>
      <c r="C53" s="1"/>
      <c r="D53" s="1"/>
      <c r="E53" s="1"/>
    </row>
    <row r="54" spans="1:10" s="34" customFormat="1" ht="15" hidden="1" x14ac:dyDescent="0.25">
      <c r="A54" s="1" t="s">
        <v>277</v>
      </c>
      <c r="B54" s="1"/>
      <c r="C54" s="444">
        <f>C45/C44</f>
        <v>23.993900715617531</v>
      </c>
      <c r="D54" s="444">
        <f>D45/D44</f>
        <v>23.993900715617531</v>
      </c>
      <c r="E54" s="444">
        <f>E45/E44</f>
        <v>23.993900715617531</v>
      </c>
      <c r="F54" s="1"/>
      <c r="G54" s="1"/>
      <c r="H54" s="444">
        <f>H45/H44</f>
        <v>23.993900715617531</v>
      </c>
      <c r="I54" s="444">
        <f>I45/I44</f>
        <v>23.993900715617531</v>
      </c>
      <c r="J54" s="444">
        <f>J45/J44</f>
        <v>23.993900715617531</v>
      </c>
    </row>
    <row r="55" spans="1:10" s="34" customFormat="1" ht="15" x14ac:dyDescent="0.25">
      <c r="A55" s="1"/>
      <c r="B55" s="1"/>
      <c r="C55" s="1"/>
      <c r="D55" s="1"/>
      <c r="E55" s="1"/>
    </row>
    <row r="56" spans="1:10" s="34" customFormat="1" ht="15" x14ac:dyDescent="0.25">
      <c r="A56" s="1"/>
      <c r="B56" s="1"/>
      <c r="C56" s="1"/>
      <c r="D56" s="1"/>
      <c r="E56" s="1"/>
    </row>
    <row r="57" spans="1:10" s="34" customFormat="1" ht="15" x14ac:dyDescent="0.25">
      <c r="A57" s="1"/>
      <c r="B57" s="1"/>
      <c r="C57" s="1"/>
      <c r="D57" s="1"/>
      <c r="E57" s="1"/>
    </row>
    <row r="58" spans="1:10" s="34" customFormat="1" ht="15" x14ac:dyDescent="0.25">
      <c r="A58" s="1"/>
      <c r="B58" s="1"/>
      <c r="C58" s="1"/>
      <c r="D58" s="1"/>
      <c r="E58" s="1"/>
    </row>
    <row r="59" spans="1:10" s="34" customFormat="1" ht="15" x14ac:dyDescent="0.25">
      <c r="A59" s="1"/>
      <c r="B59" s="1"/>
      <c r="C59" s="1"/>
      <c r="D59" s="1"/>
      <c r="E59" s="1"/>
    </row>
    <row r="60" spans="1:10" s="34" customFormat="1" ht="15" x14ac:dyDescent="0.25">
      <c r="A60" s="1"/>
      <c r="B60" s="1"/>
      <c r="C60" s="1"/>
      <c r="D60" s="1"/>
      <c r="E60" s="1"/>
    </row>
    <row r="61" spans="1:10" s="34" customFormat="1" ht="15" x14ac:dyDescent="0.25">
      <c r="A61" s="1"/>
      <c r="B61" s="1"/>
      <c r="C61" s="1"/>
      <c r="D61" s="1"/>
      <c r="E61" s="1"/>
    </row>
    <row r="62" spans="1:10" s="34" customFormat="1" ht="15" x14ac:dyDescent="0.25">
      <c r="A62" s="1"/>
      <c r="B62" s="1"/>
      <c r="C62" s="1"/>
      <c r="D62" s="1"/>
      <c r="E62" s="1"/>
    </row>
    <row r="63" spans="1:10" s="34" customFormat="1" ht="15" x14ac:dyDescent="0.25">
      <c r="A63" s="1"/>
      <c r="B63" s="1"/>
      <c r="C63" s="1"/>
      <c r="D63" s="1"/>
      <c r="E63" s="1"/>
    </row>
    <row r="64" spans="1:10" s="34" customFormat="1" ht="15" x14ac:dyDescent="0.25">
      <c r="A64" s="1"/>
      <c r="B64" s="1"/>
      <c r="C64" s="1"/>
      <c r="D64" s="1"/>
      <c r="E64" s="1"/>
    </row>
    <row r="65" spans="1:5" s="34" customFormat="1" ht="15" x14ac:dyDescent="0.25">
      <c r="A65" s="1"/>
      <c r="B65" s="1"/>
      <c r="C65" s="1"/>
      <c r="D65" s="1"/>
      <c r="E65" s="1"/>
    </row>
    <row r="66" spans="1:5" s="34" customFormat="1" ht="15" x14ac:dyDescent="0.25">
      <c r="A66" s="1"/>
      <c r="B66" s="1"/>
      <c r="C66" s="1"/>
      <c r="D66" s="1"/>
      <c r="E66" s="1"/>
    </row>
    <row r="67" spans="1:5" s="34" customFormat="1" ht="15" x14ac:dyDescent="0.25">
      <c r="A67" s="1"/>
      <c r="B67" s="1"/>
      <c r="C67" s="1"/>
      <c r="D67" s="1"/>
      <c r="E67" s="1"/>
    </row>
    <row r="68" spans="1:5" s="34" customFormat="1" ht="15" x14ac:dyDescent="0.25">
      <c r="A68" s="1"/>
      <c r="B68" s="1"/>
      <c r="C68" s="1"/>
      <c r="D68" s="1"/>
      <c r="E68" s="1"/>
    </row>
    <row r="69" spans="1:5" s="34" customFormat="1" ht="15" x14ac:dyDescent="0.25">
      <c r="A69" s="1"/>
      <c r="B69" s="1"/>
      <c r="C69" s="1"/>
      <c r="D69" s="1"/>
      <c r="E69" s="1"/>
    </row>
    <row r="70" spans="1:5" s="34" customFormat="1" ht="15" x14ac:dyDescent="0.25">
      <c r="A70" s="1"/>
      <c r="B70" s="1"/>
      <c r="C70" s="1"/>
      <c r="D70" s="1"/>
      <c r="E70" s="1"/>
    </row>
    <row r="71" spans="1:5" s="34" customFormat="1" ht="15" x14ac:dyDescent="0.25">
      <c r="A71" s="1"/>
      <c r="B71" s="1"/>
      <c r="C71" s="1"/>
      <c r="D71" s="1"/>
      <c r="E71" s="1"/>
    </row>
    <row r="72" spans="1:5" s="34" customFormat="1" ht="15" x14ac:dyDescent="0.25">
      <c r="A72" s="1"/>
      <c r="B72" s="1"/>
      <c r="C72" s="1"/>
      <c r="D72" s="1"/>
      <c r="E72" s="1"/>
    </row>
    <row r="73" spans="1:5" s="34" customFormat="1" ht="15" x14ac:dyDescent="0.25">
      <c r="A73" s="1"/>
      <c r="B73" s="1"/>
      <c r="C73" s="1"/>
      <c r="D73" s="1"/>
      <c r="E73" s="1"/>
    </row>
    <row r="74" spans="1:5" s="34" customFormat="1" ht="15" x14ac:dyDescent="0.25">
      <c r="A74" s="1"/>
      <c r="B74" s="1"/>
      <c r="C74" s="1"/>
      <c r="D74" s="1"/>
      <c r="E74" s="1"/>
    </row>
    <row r="75" spans="1:5" s="34" customFormat="1" ht="15" x14ac:dyDescent="0.25">
      <c r="C75" s="1"/>
      <c r="D75" s="1"/>
      <c r="E75" s="1"/>
    </row>
    <row r="76" spans="1:5" s="34" customFormat="1" ht="15" x14ac:dyDescent="0.25">
      <c r="C76" s="1"/>
      <c r="D76" s="1"/>
      <c r="E76" s="1"/>
    </row>
    <row r="77" spans="1:5" s="34" customFormat="1" ht="15" x14ac:dyDescent="0.25">
      <c r="C77" s="1"/>
      <c r="D77" s="1"/>
      <c r="E77" s="1"/>
    </row>
    <row r="78" spans="1:5" s="34" customFormat="1" ht="15" x14ac:dyDescent="0.25">
      <c r="C78" s="1"/>
      <c r="D78" s="1"/>
      <c r="E78" s="1"/>
    </row>
    <row r="79" spans="1:5" s="34" customFormat="1" ht="15" x14ac:dyDescent="0.25">
      <c r="C79" s="1"/>
      <c r="D79" s="1"/>
      <c r="E79" s="1"/>
    </row>
    <row r="80" spans="1:5" s="34" customFormat="1" ht="15" x14ac:dyDescent="0.25">
      <c r="C80" s="1"/>
      <c r="D80" s="1"/>
      <c r="E80" s="1"/>
    </row>
    <row r="81" spans="3:5" s="34" customFormat="1" ht="15" x14ac:dyDescent="0.25">
      <c r="C81" s="1"/>
      <c r="D81" s="1"/>
      <c r="E81" s="1"/>
    </row>
    <row r="82" spans="3:5" s="34" customFormat="1" ht="15" x14ac:dyDescent="0.25">
      <c r="C82" s="1"/>
      <c r="D82" s="1"/>
      <c r="E82" s="1"/>
    </row>
    <row r="83" spans="3:5" s="34" customFormat="1" ht="15" x14ac:dyDescent="0.25">
      <c r="C83" s="1"/>
      <c r="D83" s="1"/>
      <c r="E83" s="1"/>
    </row>
    <row r="84" spans="3:5" s="34" customFormat="1" ht="15" x14ac:dyDescent="0.25">
      <c r="C84" s="1"/>
      <c r="D84" s="1"/>
      <c r="E84" s="1"/>
    </row>
    <row r="85" spans="3:5" s="34" customFormat="1" ht="15" x14ac:dyDescent="0.25">
      <c r="C85" s="1"/>
      <c r="D85" s="1"/>
      <c r="E85" s="1"/>
    </row>
    <row r="86" spans="3:5" s="34" customFormat="1" ht="15" x14ac:dyDescent="0.25">
      <c r="C86" s="1"/>
      <c r="D86" s="1"/>
      <c r="E86" s="1"/>
    </row>
    <row r="87" spans="3:5" s="34" customFormat="1" ht="15" x14ac:dyDescent="0.25">
      <c r="C87" s="1"/>
      <c r="D87" s="1"/>
      <c r="E87" s="1"/>
    </row>
    <row r="88" spans="3:5" s="34" customFormat="1" ht="15" x14ac:dyDescent="0.25">
      <c r="C88" s="1"/>
      <c r="D88" s="1"/>
      <c r="E88" s="1"/>
    </row>
    <row r="89" spans="3:5" s="34" customFormat="1" ht="15" x14ac:dyDescent="0.25">
      <c r="C89" s="1"/>
      <c r="D89" s="1"/>
      <c r="E89" s="1"/>
    </row>
    <row r="90" spans="3:5" s="34" customFormat="1" ht="15" x14ac:dyDescent="0.25">
      <c r="C90" s="1"/>
      <c r="D90" s="1"/>
      <c r="E90" s="1"/>
    </row>
    <row r="91" spans="3:5" s="34" customFormat="1" ht="15" x14ac:dyDescent="0.25">
      <c r="C91" s="1"/>
      <c r="D91" s="1"/>
      <c r="E91" s="1"/>
    </row>
    <row r="92" spans="3:5" s="34" customFormat="1" ht="15" x14ac:dyDescent="0.25">
      <c r="C92" s="1"/>
      <c r="D92" s="1"/>
      <c r="E92" s="1"/>
    </row>
    <row r="93" spans="3:5" s="34" customFormat="1" ht="15" x14ac:dyDescent="0.25">
      <c r="C93" s="1"/>
      <c r="D93" s="1"/>
      <c r="E93" s="1"/>
    </row>
    <row r="94" spans="3:5" s="34" customFormat="1" ht="15" x14ac:dyDescent="0.25">
      <c r="C94" s="1"/>
      <c r="D94" s="1"/>
      <c r="E94" s="1"/>
    </row>
    <row r="95" spans="3:5" s="34" customFormat="1" ht="15" x14ac:dyDescent="0.25">
      <c r="C95" s="1"/>
      <c r="D95" s="1"/>
      <c r="E95" s="1"/>
    </row>
    <row r="96" spans="3:5" s="34" customFormat="1" ht="15" x14ac:dyDescent="0.25">
      <c r="C96" s="1"/>
      <c r="D96" s="1"/>
      <c r="E96" s="1"/>
    </row>
    <row r="97" spans="3:5" s="34" customFormat="1" ht="15" x14ac:dyDescent="0.25">
      <c r="C97" s="1"/>
      <c r="D97" s="1"/>
      <c r="E97" s="1"/>
    </row>
    <row r="98" spans="3:5" s="34" customFormat="1" ht="15" x14ac:dyDescent="0.25">
      <c r="C98" s="1"/>
      <c r="D98" s="1"/>
      <c r="E98" s="1"/>
    </row>
    <row r="99" spans="3:5" s="34" customFormat="1" ht="15" x14ac:dyDescent="0.25">
      <c r="C99" s="1"/>
      <c r="D99" s="1"/>
      <c r="E99" s="1"/>
    </row>
    <row r="100" spans="3:5" s="34" customFormat="1" ht="15" x14ac:dyDescent="0.25">
      <c r="C100" s="1"/>
      <c r="D100" s="1"/>
      <c r="E100" s="1"/>
    </row>
    <row r="101" spans="3:5" s="34" customFormat="1" ht="15" x14ac:dyDescent="0.25">
      <c r="C101" s="1"/>
      <c r="D101" s="1"/>
      <c r="E101" s="1"/>
    </row>
    <row r="102" spans="3:5" s="34" customFormat="1" ht="15" x14ac:dyDescent="0.25">
      <c r="C102" s="1"/>
      <c r="D102" s="1"/>
      <c r="E102" s="1"/>
    </row>
    <row r="103" spans="3:5" x14ac:dyDescent="0.25">
      <c r="C103" s="145"/>
      <c r="D103" s="145"/>
      <c r="E103" s="145"/>
    </row>
    <row r="104" spans="3:5" x14ac:dyDescent="0.25">
      <c r="C104" s="145"/>
      <c r="D104" s="145"/>
      <c r="E104" s="145"/>
    </row>
    <row r="105" spans="3:5" x14ac:dyDescent="0.25">
      <c r="C105" s="145"/>
      <c r="D105" s="145"/>
      <c r="E105" s="145"/>
    </row>
    <row r="106" spans="3:5" x14ac:dyDescent="0.25">
      <c r="C106" s="145"/>
      <c r="D106" s="145"/>
      <c r="E106" s="145"/>
    </row>
    <row r="107" spans="3:5" x14ac:dyDescent="0.25">
      <c r="C107" s="145"/>
      <c r="D107" s="145"/>
      <c r="E107" s="145"/>
    </row>
    <row r="108" spans="3:5" x14ac:dyDescent="0.25">
      <c r="C108" s="145"/>
      <c r="D108" s="145"/>
      <c r="E108" s="145"/>
    </row>
    <row r="109" spans="3:5" x14ac:dyDescent="0.25">
      <c r="C109" s="145"/>
      <c r="D109" s="145"/>
      <c r="E109" s="145"/>
    </row>
    <row r="110" spans="3:5" x14ac:dyDescent="0.25">
      <c r="C110" s="145"/>
      <c r="D110" s="145"/>
      <c r="E110" s="145"/>
    </row>
    <row r="111" spans="3:5" x14ac:dyDescent="0.25">
      <c r="C111" s="145"/>
      <c r="D111" s="145"/>
      <c r="E111" s="145"/>
    </row>
    <row r="112" spans="3:5" x14ac:dyDescent="0.25">
      <c r="C112" s="145"/>
      <c r="D112" s="145"/>
      <c r="E112" s="145"/>
    </row>
    <row r="113" spans="3:5" x14ac:dyDescent="0.25">
      <c r="C113" s="145"/>
      <c r="D113" s="145"/>
      <c r="E113" s="145"/>
    </row>
    <row r="114" spans="3:5" x14ac:dyDescent="0.25">
      <c r="C114" s="145"/>
      <c r="D114" s="145"/>
      <c r="E114" s="145"/>
    </row>
    <row r="115" spans="3:5" x14ac:dyDescent="0.25">
      <c r="C115" s="145"/>
      <c r="D115" s="145"/>
      <c r="E115" s="145"/>
    </row>
    <row r="116" spans="3:5" x14ac:dyDescent="0.25">
      <c r="C116" s="145"/>
      <c r="D116" s="145"/>
      <c r="E116" s="145"/>
    </row>
    <row r="117" spans="3:5" x14ac:dyDescent="0.25">
      <c r="C117" s="145"/>
      <c r="D117" s="145"/>
      <c r="E117" s="145"/>
    </row>
    <row r="118" spans="3:5" x14ac:dyDescent="0.25">
      <c r="C118" s="145"/>
      <c r="D118" s="145"/>
      <c r="E118" s="145"/>
    </row>
    <row r="119" spans="3:5" x14ac:dyDescent="0.25">
      <c r="C119" s="145"/>
      <c r="D119" s="145"/>
      <c r="E119" s="145"/>
    </row>
    <row r="120" spans="3:5" x14ac:dyDescent="0.25">
      <c r="C120" s="145"/>
      <c r="D120" s="145"/>
      <c r="E120" s="145"/>
    </row>
    <row r="121" spans="3:5" x14ac:dyDescent="0.25">
      <c r="C121" s="145"/>
      <c r="D121" s="145"/>
      <c r="E121" s="145"/>
    </row>
    <row r="122" spans="3:5" x14ac:dyDescent="0.25">
      <c r="C122" s="145"/>
      <c r="D122" s="145"/>
      <c r="E122" s="145"/>
    </row>
    <row r="123" spans="3:5" x14ac:dyDescent="0.25">
      <c r="C123" s="145"/>
      <c r="D123" s="145"/>
      <c r="E123" s="145"/>
    </row>
    <row r="124" spans="3:5" x14ac:dyDescent="0.25">
      <c r="C124" s="145"/>
      <c r="D124" s="145"/>
      <c r="E124" s="145"/>
    </row>
    <row r="125" spans="3:5" x14ac:dyDescent="0.25">
      <c r="C125" s="145"/>
      <c r="D125" s="145"/>
      <c r="E125" s="145"/>
    </row>
    <row r="126" spans="3:5" x14ac:dyDescent="0.25">
      <c r="C126" s="145"/>
      <c r="D126" s="145"/>
      <c r="E126" s="145"/>
    </row>
    <row r="127" spans="3:5" x14ac:dyDescent="0.25">
      <c r="C127" s="145"/>
      <c r="D127" s="145"/>
      <c r="E127" s="145"/>
    </row>
    <row r="128" spans="3:5" x14ac:dyDescent="0.25">
      <c r="C128" s="145"/>
      <c r="D128" s="145"/>
      <c r="E128" s="145"/>
    </row>
    <row r="129" spans="3:5" x14ac:dyDescent="0.25">
      <c r="C129" s="145"/>
      <c r="D129" s="145"/>
      <c r="E129" s="145"/>
    </row>
    <row r="130" spans="3:5" x14ac:dyDescent="0.25">
      <c r="C130" s="145"/>
      <c r="D130" s="145"/>
      <c r="E130" s="145"/>
    </row>
    <row r="131" spans="3:5" x14ac:dyDescent="0.25">
      <c r="C131" s="145"/>
      <c r="D131" s="145"/>
      <c r="E131" s="145"/>
    </row>
    <row r="132" spans="3:5" x14ac:dyDescent="0.25">
      <c r="C132" s="145"/>
      <c r="D132" s="145"/>
      <c r="E132" s="145"/>
    </row>
    <row r="133" spans="3:5" x14ac:dyDescent="0.25">
      <c r="C133" s="145"/>
      <c r="D133" s="145"/>
      <c r="E133" s="145"/>
    </row>
    <row r="134" spans="3:5" x14ac:dyDescent="0.25">
      <c r="C134" s="145"/>
      <c r="D134" s="145"/>
      <c r="E134" s="145"/>
    </row>
    <row r="135" spans="3:5" x14ac:dyDescent="0.25">
      <c r="C135" s="145"/>
      <c r="D135" s="145"/>
      <c r="E135" s="145"/>
    </row>
    <row r="136" spans="3:5" x14ac:dyDescent="0.25">
      <c r="C136" s="145"/>
      <c r="D136" s="145"/>
      <c r="E136" s="145"/>
    </row>
    <row r="137" spans="3:5" x14ac:dyDescent="0.25">
      <c r="C137" s="145"/>
      <c r="D137" s="145"/>
      <c r="E137" s="145"/>
    </row>
    <row r="138" spans="3:5" x14ac:dyDescent="0.25">
      <c r="C138" s="145"/>
      <c r="D138" s="145"/>
      <c r="E138" s="145"/>
    </row>
    <row r="139" spans="3:5" x14ac:dyDescent="0.25">
      <c r="C139" s="145"/>
      <c r="D139" s="145"/>
      <c r="E139" s="145"/>
    </row>
    <row r="140" spans="3:5" x14ac:dyDescent="0.25">
      <c r="C140" s="145"/>
      <c r="D140" s="145"/>
      <c r="E140" s="145"/>
    </row>
    <row r="141" spans="3:5" x14ac:dyDescent="0.25">
      <c r="C141" s="145"/>
      <c r="D141" s="145"/>
      <c r="E141" s="145"/>
    </row>
    <row r="142" spans="3:5" x14ac:dyDescent="0.25">
      <c r="C142" s="145"/>
      <c r="D142" s="145"/>
      <c r="E142" s="145"/>
    </row>
    <row r="143" spans="3:5" x14ac:dyDescent="0.25">
      <c r="C143" s="145"/>
      <c r="D143" s="145"/>
      <c r="E143" s="145"/>
    </row>
    <row r="144" spans="3:5" x14ac:dyDescent="0.25">
      <c r="C144" s="145"/>
      <c r="D144" s="145"/>
      <c r="E144" s="145"/>
    </row>
    <row r="145" spans="3:5" x14ac:dyDescent="0.25">
      <c r="C145" s="145"/>
      <c r="D145" s="145"/>
      <c r="E145" s="145"/>
    </row>
    <row r="146" spans="3:5" x14ac:dyDescent="0.25">
      <c r="C146" s="145"/>
      <c r="D146" s="145"/>
      <c r="E146" s="145"/>
    </row>
    <row r="147" spans="3:5" x14ac:dyDescent="0.25">
      <c r="C147" s="145"/>
      <c r="D147" s="145"/>
      <c r="E147" s="145"/>
    </row>
    <row r="148" spans="3:5" x14ac:dyDescent="0.25">
      <c r="C148" s="145"/>
      <c r="D148" s="145"/>
      <c r="E148" s="145"/>
    </row>
    <row r="149" spans="3:5" x14ac:dyDescent="0.25">
      <c r="C149" s="145"/>
      <c r="D149" s="145"/>
      <c r="E149" s="145"/>
    </row>
    <row r="150" spans="3:5" x14ac:dyDescent="0.25">
      <c r="C150" s="145"/>
      <c r="D150" s="145"/>
      <c r="E150" s="145"/>
    </row>
    <row r="151" spans="3:5" x14ac:dyDescent="0.25">
      <c r="C151" s="145"/>
      <c r="D151" s="145"/>
      <c r="E151" s="145"/>
    </row>
    <row r="152" spans="3:5" x14ac:dyDescent="0.25">
      <c r="C152" s="145"/>
      <c r="D152" s="145"/>
      <c r="E152" s="145"/>
    </row>
    <row r="153" spans="3:5" x14ac:dyDescent="0.25">
      <c r="C153" s="145"/>
      <c r="D153" s="145"/>
      <c r="E153" s="145"/>
    </row>
    <row r="154" spans="3:5" x14ac:dyDescent="0.25">
      <c r="C154" s="145"/>
      <c r="D154" s="145"/>
      <c r="E154" s="145"/>
    </row>
    <row r="155" spans="3:5" x14ac:dyDescent="0.25">
      <c r="C155" s="145"/>
      <c r="D155" s="145"/>
      <c r="E155" s="145"/>
    </row>
    <row r="156" spans="3:5" x14ac:dyDescent="0.25">
      <c r="C156" s="145"/>
      <c r="D156" s="145"/>
      <c r="E156" s="145"/>
    </row>
    <row r="157" spans="3:5" x14ac:dyDescent="0.25">
      <c r="C157" s="145"/>
      <c r="D157" s="145"/>
      <c r="E157" s="145"/>
    </row>
    <row r="158" spans="3:5" x14ac:dyDescent="0.25">
      <c r="C158" s="145"/>
      <c r="D158" s="145"/>
      <c r="E158" s="145"/>
    </row>
    <row r="159" spans="3:5" x14ac:dyDescent="0.25">
      <c r="D159" s="145"/>
    </row>
    <row r="160" spans="3:5" x14ac:dyDescent="0.25">
      <c r="D160" s="145"/>
    </row>
    <row r="161" spans="4:4" x14ac:dyDescent="0.25">
      <c r="D161" s="145"/>
    </row>
    <row r="162" spans="4:4" x14ac:dyDescent="0.25">
      <c r="D162" s="145"/>
    </row>
    <row r="163" spans="4:4" x14ac:dyDescent="0.25">
      <c r="D163" s="145"/>
    </row>
    <row r="164" spans="4:4" x14ac:dyDescent="0.25">
      <c r="D164" s="145"/>
    </row>
    <row r="165" spans="4:4" x14ac:dyDescent="0.25">
      <c r="D165" s="145"/>
    </row>
    <row r="166" spans="4:4" x14ac:dyDescent="0.25">
      <c r="D166" s="145"/>
    </row>
    <row r="167" spans="4:4" x14ac:dyDescent="0.25">
      <c r="D167" s="145"/>
    </row>
    <row r="168" spans="4:4" x14ac:dyDescent="0.25">
      <c r="D168" s="145"/>
    </row>
    <row r="169" spans="4:4" x14ac:dyDescent="0.25">
      <c r="D169" s="145"/>
    </row>
    <row r="170" spans="4:4" x14ac:dyDescent="0.25">
      <c r="D170" s="145"/>
    </row>
    <row r="171" spans="4:4" x14ac:dyDescent="0.25">
      <c r="D171" s="145"/>
    </row>
    <row r="172" spans="4:4" x14ac:dyDescent="0.25">
      <c r="D172" s="145"/>
    </row>
    <row r="173" spans="4:4" x14ac:dyDescent="0.25">
      <c r="D173" s="145"/>
    </row>
    <row r="174" spans="4:4" x14ac:dyDescent="0.25">
      <c r="D174" s="145"/>
    </row>
    <row r="175" spans="4:4" x14ac:dyDescent="0.25">
      <c r="D175" s="145"/>
    </row>
    <row r="176" spans="4:4" x14ac:dyDescent="0.25">
      <c r="D176" s="145"/>
    </row>
    <row r="177" spans="4:4" x14ac:dyDescent="0.25">
      <c r="D177" s="145"/>
    </row>
    <row r="178" spans="4:4" x14ac:dyDescent="0.25">
      <c r="D178" s="145"/>
    </row>
    <row r="179" spans="4:4" x14ac:dyDescent="0.25">
      <c r="D179" s="145"/>
    </row>
    <row r="180" spans="4:4" x14ac:dyDescent="0.25">
      <c r="D180" s="145"/>
    </row>
    <row r="181" spans="4:4" x14ac:dyDescent="0.25">
      <c r="D181" s="145"/>
    </row>
    <row r="182" spans="4:4" x14ac:dyDescent="0.25">
      <c r="D182" s="145"/>
    </row>
    <row r="183" spans="4:4" x14ac:dyDescent="0.25">
      <c r="D183" s="145"/>
    </row>
    <row r="184" spans="4:4" x14ac:dyDescent="0.25">
      <c r="D184" s="145"/>
    </row>
    <row r="185" spans="4:4" x14ac:dyDescent="0.25">
      <c r="D185" s="145"/>
    </row>
    <row r="186" spans="4:4" x14ac:dyDescent="0.25">
      <c r="D186" s="145"/>
    </row>
    <row r="187" spans="4:4" x14ac:dyDescent="0.25">
      <c r="D187" s="145"/>
    </row>
    <row r="188" spans="4:4" x14ac:dyDescent="0.25">
      <c r="D188" s="145"/>
    </row>
    <row r="189" spans="4:4" x14ac:dyDescent="0.25">
      <c r="D189" s="145"/>
    </row>
    <row r="190" spans="4:4" x14ac:dyDescent="0.25">
      <c r="D190" s="145"/>
    </row>
    <row r="191" spans="4:4" x14ac:dyDescent="0.25">
      <c r="D191" s="145"/>
    </row>
    <row r="192" spans="4:4" x14ac:dyDescent="0.25">
      <c r="D192" s="145"/>
    </row>
    <row r="193" spans="4:4" x14ac:dyDescent="0.25">
      <c r="D193" s="145"/>
    </row>
    <row r="194" spans="4:4" x14ac:dyDescent="0.25">
      <c r="D194" s="145"/>
    </row>
    <row r="195" spans="4:4" x14ac:dyDescent="0.25">
      <c r="D195" s="145"/>
    </row>
    <row r="196" spans="4:4" x14ac:dyDescent="0.25">
      <c r="D196" s="145"/>
    </row>
    <row r="197" spans="4:4" x14ac:dyDescent="0.25">
      <c r="D197" s="145"/>
    </row>
    <row r="198" spans="4:4" x14ac:dyDescent="0.25">
      <c r="D198" s="145"/>
    </row>
    <row r="199" spans="4:4" x14ac:dyDescent="0.25">
      <c r="D199" s="145"/>
    </row>
    <row r="200" spans="4:4" x14ac:dyDescent="0.25">
      <c r="D200" s="145"/>
    </row>
    <row r="201" spans="4:4" x14ac:dyDescent="0.25">
      <c r="D201" s="145"/>
    </row>
    <row r="202" spans="4:4" x14ac:dyDescent="0.25">
      <c r="D202" s="145"/>
    </row>
    <row r="203" spans="4:4" x14ac:dyDescent="0.25">
      <c r="D203" s="145"/>
    </row>
    <row r="204" spans="4:4" x14ac:dyDescent="0.25">
      <c r="D204" s="145"/>
    </row>
    <row r="205" spans="4:4" x14ac:dyDescent="0.25">
      <c r="D205" s="145"/>
    </row>
    <row r="206" spans="4:4" x14ac:dyDescent="0.25">
      <c r="D206" s="145"/>
    </row>
    <row r="207" spans="4:4" x14ac:dyDescent="0.25">
      <c r="D207" s="145"/>
    </row>
    <row r="208" spans="4:4" x14ac:dyDescent="0.25">
      <c r="D208" s="145"/>
    </row>
    <row r="209" spans="4:4" x14ac:dyDescent="0.25">
      <c r="D209" s="145"/>
    </row>
    <row r="210" spans="4:4" x14ac:dyDescent="0.25">
      <c r="D210" s="145"/>
    </row>
    <row r="211" spans="4:4" x14ac:dyDescent="0.25">
      <c r="D211" s="145"/>
    </row>
  </sheetData>
  <phoneticPr fontId="33" type="noConversion"/>
  <pageMargins left="0.5" right="0.5" top="1" bottom="1" header="0.5" footer="0.5"/>
  <pageSetup orientation="portrait" horizontalDpi="4294967292" verticalDpi="4294967292" r:id="rId1"/>
  <headerFooter>
    <oddHeader>&amp;C&amp;"-,Bold"Benefits: Flood Risk Reduction</oddHeader>
    <oddFooter>&amp;LFlood Control 2.0: Benefit-Cost Tool&amp;RDecember 2016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&lt;Click to Select Discount Rate&gt;">
          <x14:formula1>
            <xm:f>Project_Master!$C$9:$C$11</xm:f>
          </x14:formula1>
          <xm:sqref>B2 G2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opLeftCell="A27" zoomScale="91" zoomScaleNormal="91" zoomScalePageLayoutView="91" workbookViewId="0">
      <selection activeCell="B57" sqref="B57"/>
    </sheetView>
  </sheetViews>
  <sheetFormatPr defaultColWidth="10.875" defaultRowHeight="15" x14ac:dyDescent="0.25"/>
  <cols>
    <col min="1" max="1" width="28.125" style="154" customWidth="1"/>
    <col min="2" max="2" width="10.875" style="154" customWidth="1"/>
    <col min="3" max="3" width="10.5" style="161" customWidth="1"/>
    <col min="4" max="4" width="13.125" style="154" customWidth="1"/>
    <col min="5" max="5" width="23.875" style="161" customWidth="1"/>
    <col min="6" max="6" width="11.375" style="154" bestFit="1" customWidth="1"/>
    <col min="7" max="7" width="22.125" style="161" customWidth="1"/>
    <col min="8" max="8" width="7.375" style="154" bestFit="1" customWidth="1"/>
    <col min="9" max="9" width="11.375" style="154" customWidth="1"/>
    <col min="10" max="10" width="9.5" style="154" bestFit="1" customWidth="1"/>
    <col min="11" max="11" width="13" style="154" bestFit="1" customWidth="1"/>
    <col min="12" max="12" width="18.625" style="154" bestFit="1" customWidth="1"/>
    <col min="13" max="13" width="26.875" style="154" bestFit="1" customWidth="1"/>
    <col min="14" max="14" width="29" style="154" customWidth="1"/>
    <col min="15" max="16384" width="10.875" style="154"/>
  </cols>
  <sheetData>
    <row r="1" spans="1:14" s="150" customFormat="1" x14ac:dyDescent="0.25">
      <c r="A1" s="150" t="s">
        <v>135</v>
      </c>
      <c r="B1" s="150" t="str">
        <f>Project_Master!B14</f>
        <v>FC 1.0/No Action</v>
      </c>
      <c r="C1" s="151" t="s">
        <v>53</v>
      </c>
      <c r="D1" s="150" t="str">
        <f>Project_Master!B15</f>
        <v>FC 2.0</v>
      </c>
      <c r="E1" s="151" t="s">
        <v>53</v>
      </c>
      <c r="F1" s="314" t="s">
        <v>186</v>
      </c>
    </row>
    <row r="2" spans="1:14" x14ac:dyDescent="0.25">
      <c r="A2" s="152" t="s">
        <v>54</v>
      </c>
      <c r="B2" s="241">
        <v>6</v>
      </c>
      <c r="C2" s="153"/>
      <c r="D2" s="241">
        <v>6</v>
      </c>
      <c r="E2" s="153"/>
      <c r="F2" s="315">
        <v>30</v>
      </c>
      <c r="G2" s="154"/>
    </row>
    <row r="3" spans="1:14" x14ac:dyDescent="0.25">
      <c r="A3" s="155" t="s">
        <v>55</v>
      </c>
      <c r="B3" s="242">
        <v>2</v>
      </c>
      <c r="C3" s="316"/>
      <c r="D3" s="242">
        <v>2</v>
      </c>
      <c r="E3" s="156"/>
      <c r="F3" s="315">
        <v>18</v>
      </c>
      <c r="G3" s="154"/>
    </row>
    <row r="4" spans="1:14" x14ac:dyDescent="0.25">
      <c r="A4" s="155" t="s">
        <v>56</v>
      </c>
      <c r="B4" s="242">
        <v>6</v>
      </c>
      <c r="C4" s="316"/>
      <c r="D4" s="242">
        <v>8</v>
      </c>
      <c r="E4" s="156"/>
      <c r="F4" s="315">
        <v>14</v>
      </c>
      <c r="G4" s="154"/>
    </row>
    <row r="5" spans="1:14" x14ac:dyDescent="0.25">
      <c r="A5" s="155" t="s">
        <v>57</v>
      </c>
      <c r="B5" s="242">
        <v>10</v>
      </c>
      <c r="C5" s="316"/>
      <c r="D5" s="242">
        <v>14</v>
      </c>
      <c r="E5" s="156"/>
      <c r="F5" s="315">
        <v>18</v>
      </c>
      <c r="G5" s="154"/>
    </row>
    <row r="6" spans="1:14" x14ac:dyDescent="0.25">
      <c r="A6" s="165" t="s">
        <v>16</v>
      </c>
      <c r="B6" s="243">
        <v>10</v>
      </c>
      <c r="C6" s="317"/>
      <c r="D6" s="243">
        <v>14</v>
      </c>
      <c r="E6" s="166"/>
      <c r="F6" s="315">
        <v>20</v>
      </c>
      <c r="G6" s="154"/>
    </row>
    <row r="7" spans="1:14" s="150" customFormat="1" x14ac:dyDescent="0.25">
      <c r="A7" s="157" t="s">
        <v>58</v>
      </c>
      <c r="B7" s="162">
        <f>SUM(B2:B6)</f>
        <v>34</v>
      </c>
      <c r="C7" s="158"/>
      <c r="D7" s="162">
        <f>SUM(D2:D6)</f>
        <v>44</v>
      </c>
      <c r="E7" s="158"/>
      <c r="F7" s="314">
        <v>100</v>
      </c>
    </row>
    <row r="8" spans="1:14" x14ac:dyDescent="0.25">
      <c r="A8" s="155"/>
      <c r="B8" s="155"/>
      <c r="C8" s="156"/>
      <c r="D8" s="155"/>
      <c r="E8" s="156"/>
      <c r="F8" s="315"/>
      <c r="G8" s="154"/>
    </row>
    <row r="9" spans="1:14" x14ac:dyDescent="0.25">
      <c r="A9" s="157" t="s">
        <v>59</v>
      </c>
      <c r="B9" s="155"/>
      <c r="C9" s="156"/>
      <c r="D9" s="155"/>
      <c r="E9" s="156" t="s">
        <v>7</v>
      </c>
      <c r="F9" s="315"/>
      <c r="G9" s="154"/>
    </row>
    <row r="10" spans="1:14" s="150" customFormat="1" x14ac:dyDescent="0.25">
      <c r="A10" s="168" t="s">
        <v>140</v>
      </c>
      <c r="B10" s="172">
        <f>0.0823181818181818*B7+2.9809</f>
        <v>5.7797181818181809</v>
      </c>
      <c r="C10" s="169"/>
      <c r="D10" s="172">
        <f>0.0823181818181818*D7+2.9809</f>
        <v>6.6029</v>
      </c>
      <c r="E10" s="169"/>
      <c r="F10" s="314"/>
    </row>
    <row r="11" spans="1:14" s="150" customFormat="1" x14ac:dyDescent="0.25">
      <c r="A11" s="167" t="s">
        <v>141</v>
      </c>
      <c r="B11" s="173">
        <f>0.0652090909090909*B7+5.0511</f>
        <v>7.2682090909090906</v>
      </c>
      <c r="D11" s="173">
        <f>0.0652090909090909*D7+5.0511</f>
        <v>7.9202999999999992</v>
      </c>
      <c r="E11" s="150" t="s">
        <v>187</v>
      </c>
      <c r="F11" s="314"/>
    </row>
    <row r="12" spans="1:14" s="150" customFormat="1" x14ac:dyDescent="0.25">
      <c r="A12" s="167" t="s">
        <v>139</v>
      </c>
      <c r="B12" s="174">
        <f>0.199454545454545*B7+22.71</f>
        <v>29.49145454545453</v>
      </c>
      <c r="C12" s="158"/>
      <c r="D12" s="174">
        <f>0.199454545454545*D7+22.71</f>
        <v>31.485999999999983</v>
      </c>
      <c r="E12" s="158" t="s">
        <v>187</v>
      </c>
      <c r="F12" s="314"/>
    </row>
    <row r="13" spans="1:14" s="150" customFormat="1" ht="30" x14ac:dyDescent="0.25">
      <c r="A13" s="170" t="s">
        <v>142</v>
      </c>
      <c r="B13" s="175">
        <f>0.3042*B7+8.6371</f>
        <v>18.979900000000001</v>
      </c>
      <c r="C13" s="171"/>
      <c r="D13" s="175">
        <f>0.3042*D7+8.6371</f>
        <v>22.021900000000002</v>
      </c>
      <c r="E13" s="171" t="s">
        <v>187</v>
      </c>
      <c r="F13" s="314"/>
    </row>
    <row r="14" spans="1:14" x14ac:dyDescent="0.25">
      <c r="A14" s="155"/>
      <c r="B14" s="155"/>
      <c r="C14" s="156"/>
      <c r="D14" s="155"/>
      <c r="E14" s="156"/>
      <c r="F14" s="155"/>
      <c r="G14" s="156"/>
      <c r="H14" s="155"/>
    </row>
    <row r="15" spans="1:14" x14ac:dyDescent="0.25">
      <c r="A15" s="155"/>
      <c r="B15" s="155"/>
      <c r="C15" s="156"/>
      <c r="D15" s="155"/>
      <c r="E15" s="156"/>
      <c r="F15" s="155"/>
      <c r="G15" s="156"/>
      <c r="H15" s="155"/>
      <c r="J15" s="159"/>
      <c r="K15" s="159"/>
      <c r="L15" s="156"/>
      <c r="M15" s="155"/>
      <c r="N15" s="156"/>
    </row>
    <row r="16" spans="1:14" x14ac:dyDescent="0.25">
      <c r="A16" s="157" t="s">
        <v>137</v>
      </c>
      <c r="B16" s="155"/>
      <c r="C16" s="156"/>
      <c r="D16" s="155"/>
      <c r="E16" s="156"/>
      <c r="F16" s="155"/>
      <c r="G16" s="156"/>
      <c r="H16" s="155"/>
    </row>
    <row r="17" spans="1:14" ht="51" customHeight="1" x14ac:dyDescent="0.25">
      <c r="A17" s="282" t="s">
        <v>134</v>
      </c>
      <c r="B17" s="283" t="s">
        <v>140</v>
      </c>
      <c r="C17" s="283" t="s">
        <v>141</v>
      </c>
      <c r="D17" s="283" t="s">
        <v>139</v>
      </c>
      <c r="E17" s="283" t="s">
        <v>142</v>
      </c>
      <c r="F17" s="155"/>
      <c r="G17" s="156"/>
      <c r="H17" s="155"/>
      <c r="J17" s="159"/>
      <c r="K17" s="159"/>
      <c r="L17" s="156"/>
      <c r="M17" s="155"/>
      <c r="N17" s="156"/>
    </row>
    <row r="18" spans="1:14" x14ac:dyDescent="0.25">
      <c r="A18" s="284">
        <v>0</v>
      </c>
      <c r="B18" s="285">
        <v>3.9</v>
      </c>
      <c r="C18" s="285">
        <v>5.61</v>
      </c>
      <c r="D18" s="285">
        <v>27.33</v>
      </c>
      <c r="E18" s="285">
        <v>15.86</v>
      </c>
      <c r="F18" s="155"/>
      <c r="G18" s="156"/>
      <c r="H18" s="155"/>
      <c r="J18" s="159"/>
      <c r="K18" s="159"/>
      <c r="L18" s="156"/>
      <c r="M18" s="155"/>
      <c r="N18" s="156"/>
    </row>
    <row r="19" spans="1:14" x14ac:dyDescent="0.25">
      <c r="A19" s="286">
        <v>10</v>
      </c>
      <c r="B19" s="287">
        <v>4.6399999999999997</v>
      </c>
      <c r="C19" s="287">
        <v>6.35</v>
      </c>
      <c r="D19" s="287">
        <v>28.07</v>
      </c>
      <c r="E19" s="287">
        <v>16.84</v>
      </c>
      <c r="F19" s="155"/>
      <c r="G19" s="156"/>
      <c r="H19" s="155"/>
      <c r="J19" s="159"/>
      <c r="K19" s="159"/>
      <c r="L19" s="156"/>
      <c r="M19" s="155"/>
      <c r="N19" s="156"/>
    </row>
    <row r="20" spans="1:14" x14ac:dyDescent="0.25">
      <c r="A20" s="286">
        <v>20</v>
      </c>
      <c r="B20" s="287">
        <v>5.12</v>
      </c>
      <c r="C20" s="287">
        <v>6.83</v>
      </c>
      <c r="D20" s="287">
        <v>28.55</v>
      </c>
      <c r="E20" s="287">
        <v>18.059999999999999</v>
      </c>
      <c r="F20" s="155"/>
      <c r="G20" s="156"/>
      <c r="H20" s="155"/>
      <c r="J20" s="159"/>
      <c r="K20" s="159"/>
      <c r="L20" s="156"/>
      <c r="M20" s="155"/>
      <c r="N20" s="156"/>
    </row>
    <row r="21" spans="1:14" x14ac:dyDescent="0.25">
      <c r="A21" s="286">
        <v>30</v>
      </c>
      <c r="B21" s="287">
        <v>5.86</v>
      </c>
      <c r="C21" s="287">
        <v>7.57</v>
      </c>
      <c r="D21" s="287">
        <v>29.29</v>
      </c>
      <c r="E21" s="287">
        <v>19.52</v>
      </c>
      <c r="F21" s="155"/>
      <c r="G21" s="156"/>
      <c r="H21" s="155"/>
      <c r="J21" s="159"/>
      <c r="K21" s="159"/>
      <c r="L21" s="156"/>
      <c r="M21" s="155"/>
      <c r="N21" s="156"/>
    </row>
    <row r="22" spans="1:14" x14ac:dyDescent="0.25">
      <c r="A22" s="286">
        <v>40</v>
      </c>
      <c r="B22" s="287">
        <v>7.32</v>
      </c>
      <c r="C22" s="287">
        <v>8.3000000000000007</v>
      </c>
      <c r="D22" s="287">
        <v>30.02</v>
      </c>
      <c r="E22" s="287">
        <v>20.74</v>
      </c>
      <c r="F22" s="155"/>
      <c r="G22" s="156"/>
      <c r="H22" s="155"/>
      <c r="J22" s="159"/>
      <c r="K22" s="159"/>
      <c r="L22" s="156"/>
      <c r="M22" s="155"/>
      <c r="N22" s="156"/>
    </row>
    <row r="23" spans="1:14" x14ac:dyDescent="0.25">
      <c r="A23" s="286">
        <v>50</v>
      </c>
      <c r="B23" s="287">
        <v>8.3000000000000007</v>
      </c>
      <c r="C23" s="287">
        <v>9.0299999999999994</v>
      </c>
      <c r="D23" s="287">
        <v>32.950000000000003</v>
      </c>
      <c r="E23" s="287">
        <v>23.43</v>
      </c>
      <c r="F23" s="155"/>
      <c r="G23" s="156"/>
      <c r="H23" s="155"/>
      <c r="J23" s="159"/>
      <c r="K23" s="159"/>
      <c r="L23" s="156"/>
      <c r="M23" s="155"/>
      <c r="N23" s="156"/>
    </row>
    <row r="24" spans="1:14" x14ac:dyDescent="0.25">
      <c r="A24" s="286">
        <v>60</v>
      </c>
      <c r="B24" s="287">
        <v>9.0299999999999994</v>
      </c>
      <c r="C24" s="287">
        <v>10.01</v>
      </c>
      <c r="D24" s="287">
        <v>35.869999999999997</v>
      </c>
      <c r="E24" s="287">
        <v>25.87</v>
      </c>
      <c r="F24" s="155"/>
      <c r="G24" s="156"/>
      <c r="H24" s="155"/>
      <c r="J24" s="159"/>
      <c r="K24" s="159"/>
      <c r="L24" s="156"/>
      <c r="M24" s="155"/>
      <c r="N24" s="156"/>
    </row>
    <row r="25" spans="1:14" x14ac:dyDescent="0.25">
      <c r="A25" s="286">
        <v>70</v>
      </c>
      <c r="B25" s="287">
        <v>9.52</v>
      </c>
      <c r="C25" s="287">
        <v>10.49</v>
      </c>
      <c r="D25" s="287">
        <v>38.07</v>
      </c>
      <c r="E25" s="287">
        <v>31.24</v>
      </c>
      <c r="F25" s="155"/>
      <c r="G25" s="156"/>
      <c r="H25" s="155"/>
      <c r="J25" s="159"/>
      <c r="K25" s="159"/>
      <c r="L25" s="156"/>
      <c r="M25" s="155"/>
      <c r="N25" s="156"/>
    </row>
    <row r="26" spans="1:14" x14ac:dyDescent="0.25">
      <c r="A26" s="286">
        <v>80</v>
      </c>
      <c r="B26" s="287">
        <v>10.49</v>
      </c>
      <c r="C26" s="287">
        <v>11.23</v>
      </c>
      <c r="D26" s="287">
        <v>41</v>
      </c>
      <c r="E26" s="287">
        <v>36.36</v>
      </c>
      <c r="F26" s="155"/>
      <c r="G26" s="156"/>
      <c r="H26" s="155"/>
      <c r="J26" s="159"/>
      <c r="K26" s="159"/>
      <c r="L26" s="156"/>
      <c r="M26" s="155"/>
      <c r="N26" s="156"/>
    </row>
    <row r="27" spans="1:14" x14ac:dyDescent="0.25">
      <c r="A27" s="286">
        <v>90</v>
      </c>
      <c r="B27" s="287">
        <v>11.23</v>
      </c>
      <c r="C27" s="287">
        <v>11.47</v>
      </c>
      <c r="D27" s="287">
        <v>43.93</v>
      </c>
      <c r="E27" s="287">
        <v>41.49</v>
      </c>
      <c r="F27" s="155"/>
      <c r="G27" s="156"/>
      <c r="H27" s="155"/>
      <c r="J27" s="159"/>
      <c r="K27" s="159"/>
      <c r="L27" s="156"/>
      <c r="M27" s="155"/>
      <c r="N27" s="156"/>
    </row>
    <row r="28" spans="1:14" x14ac:dyDescent="0.25">
      <c r="A28" s="288">
        <v>100</v>
      </c>
      <c r="B28" s="289">
        <v>11.71</v>
      </c>
      <c r="C28" s="289">
        <v>11.71</v>
      </c>
      <c r="D28" s="289">
        <v>46.37</v>
      </c>
      <c r="E28" s="289">
        <v>46.37</v>
      </c>
      <c r="F28" s="155"/>
      <c r="G28" s="156"/>
      <c r="H28" s="155"/>
      <c r="J28" s="159"/>
      <c r="K28" s="159"/>
      <c r="L28" s="156"/>
      <c r="M28" s="155"/>
      <c r="N28" s="156"/>
    </row>
    <row r="29" spans="1:14" x14ac:dyDescent="0.25">
      <c r="A29" s="155"/>
      <c r="B29" s="155"/>
      <c r="C29" s="156"/>
      <c r="D29" s="155"/>
      <c r="E29" s="156"/>
      <c r="F29" s="155"/>
      <c r="G29" s="156"/>
      <c r="H29" s="155"/>
      <c r="J29" s="159"/>
      <c r="K29" s="159"/>
      <c r="L29" s="156"/>
      <c r="M29" s="155"/>
      <c r="N29" s="156"/>
    </row>
    <row r="30" spans="1:14" x14ac:dyDescent="0.25">
      <c r="A30" s="159" t="s">
        <v>60</v>
      </c>
      <c r="B30" s="159" t="s">
        <v>133</v>
      </c>
      <c r="C30" s="156"/>
      <c r="D30" s="155"/>
      <c r="E30" s="156"/>
      <c r="F30" s="155"/>
      <c r="G30" s="156"/>
      <c r="H30" s="155"/>
      <c r="J30" s="159"/>
      <c r="K30" s="159"/>
      <c r="L30" s="156"/>
      <c r="M30" s="155"/>
      <c r="N30" s="156"/>
    </row>
    <row r="31" spans="1:14" x14ac:dyDescent="0.25">
      <c r="A31" s="155"/>
      <c r="B31" s="155"/>
      <c r="C31" s="156"/>
      <c r="D31" s="155"/>
      <c r="E31" s="156"/>
      <c r="F31" s="155"/>
      <c r="G31" s="156"/>
      <c r="H31" s="155"/>
      <c r="J31" s="159"/>
      <c r="K31" s="159"/>
      <c r="L31" s="156"/>
      <c r="M31" s="155"/>
      <c r="N31" s="156"/>
    </row>
    <row r="32" spans="1:14" x14ac:dyDescent="0.25">
      <c r="A32" s="155"/>
      <c r="B32" s="155"/>
      <c r="C32" s="156"/>
      <c r="D32" s="155"/>
      <c r="E32" s="156"/>
      <c r="F32" s="155"/>
      <c r="G32" s="156"/>
      <c r="H32" s="155"/>
      <c r="J32" s="159"/>
      <c r="K32" s="159"/>
      <c r="L32" s="156"/>
      <c r="M32" s="155"/>
      <c r="N32" s="156"/>
    </row>
    <row r="33" spans="1:14" s="150" customFormat="1" x14ac:dyDescent="0.25">
      <c r="A33" s="150" t="s">
        <v>211</v>
      </c>
      <c r="C33" s="151"/>
      <c r="E33" s="151"/>
      <c r="G33" s="151"/>
      <c r="M33" s="387"/>
      <c r="N33" s="388"/>
    </row>
    <row r="34" spans="1:14" s="150" customFormat="1" ht="45" x14ac:dyDescent="0.25">
      <c r="A34" s="162" t="str">
        <f>B1</f>
        <v>FC 1.0/No Action</v>
      </c>
      <c r="B34" s="163" t="s">
        <v>140</v>
      </c>
      <c r="C34" s="163" t="s">
        <v>141</v>
      </c>
      <c r="D34" s="163" t="s">
        <v>139</v>
      </c>
      <c r="E34" s="163" t="s">
        <v>142</v>
      </c>
      <c r="F34" s="176"/>
      <c r="G34" s="318" t="s">
        <v>144</v>
      </c>
    </row>
    <row r="35" spans="1:14" x14ac:dyDescent="0.25">
      <c r="A35" s="152" t="s">
        <v>208</v>
      </c>
      <c r="B35" s="244">
        <v>326000</v>
      </c>
      <c r="C35" s="245">
        <v>0</v>
      </c>
      <c r="D35" s="241">
        <v>0</v>
      </c>
      <c r="E35" s="245">
        <v>0</v>
      </c>
      <c r="G35" s="319">
        <f>Project_Master!C6</f>
        <v>50</v>
      </c>
    </row>
    <row r="36" spans="1:14" x14ac:dyDescent="0.25">
      <c r="A36" s="155" t="s">
        <v>209</v>
      </c>
      <c r="B36" s="246">
        <v>0</v>
      </c>
      <c r="C36" s="246">
        <v>0</v>
      </c>
      <c r="D36" s="246">
        <v>0</v>
      </c>
      <c r="E36" s="246">
        <v>0</v>
      </c>
      <c r="G36" s="320"/>
    </row>
    <row r="37" spans="1:14" x14ac:dyDescent="0.25">
      <c r="A37" s="165" t="s">
        <v>136</v>
      </c>
      <c r="B37" s="280">
        <f>AVERAGE((B35*(1+B36)^Project_Master!$C$6),B35)</f>
        <v>326000</v>
      </c>
      <c r="C37" s="280">
        <f>AVERAGE((C35*(1+C36)^Project_Master!$C$6),C35)</f>
        <v>0</v>
      </c>
      <c r="D37" s="280">
        <f>AVERAGE((D35*(1+D36)^Project_Master!$C$6),D35)</f>
        <v>0</v>
      </c>
      <c r="E37" s="280">
        <f>AVERAGE((E35*(1+E36)^Project_Master!$C$6),E35)</f>
        <v>0</v>
      </c>
      <c r="G37" s="321" t="s">
        <v>143</v>
      </c>
    </row>
    <row r="38" spans="1:14" x14ac:dyDescent="0.25">
      <c r="G38" s="322">
        <f>Benefits_FloodRisk!B2</f>
        <v>3.3750000000000002E-2</v>
      </c>
    </row>
    <row r="39" spans="1:14" s="150" customFormat="1" ht="45" x14ac:dyDescent="0.25">
      <c r="A39" s="181" t="str">
        <f>D1</f>
        <v>FC 2.0</v>
      </c>
      <c r="B39" s="163" t="s">
        <v>140</v>
      </c>
      <c r="C39" s="163" t="s">
        <v>141</v>
      </c>
      <c r="D39" s="163" t="s">
        <v>139</v>
      </c>
      <c r="E39" s="163" t="s">
        <v>142</v>
      </c>
      <c r="F39" s="176"/>
    </row>
    <row r="40" spans="1:14" x14ac:dyDescent="0.25">
      <c r="A40" s="152" t="s">
        <v>208</v>
      </c>
      <c r="B40" s="244">
        <v>326000</v>
      </c>
      <c r="C40" s="245">
        <v>0</v>
      </c>
      <c r="D40" s="241">
        <v>0</v>
      </c>
      <c r="E40" s="245">
        <v>0</v>
      </c>
      <c r="G40" s="154"/>
    </row>
    <row r="41" spans="1:14" x14ac:dyDescent="0.25">
      <c r="A41" s="155" t="s">
        <v>209</v>
      </c>
      <c r="B41" s="246">
        <v>1.0999999999999999E-2</v>
      </c>
      <c r="C41" s="246">
        <v>1.0999999999999999E-2</v>
      </c>
      <c r="D41" s="246">
        <v>1.0999999999999999E-2</v>
      </c>
      <c r="E41" s="246">
        <v>1.0999999999999999E-2</v>
      </c>
      <c r="G41" s="154"/>
    </row>
    <row r="42" spans="1:14" x14ac:dyDescent="0.25">
      <c r="A42" s="165" t="s">
        <v>136</v>
      </c>
      <c r="B42" s="280">
        <f>AVERAGE((B40*(1+B41)^Project_Master!$C$6),B40)</f>
        <v>444673.10677664948</v>
      </c>
      <c r="C42" s="280">
        <f>AVERAGE((C40*(1+C41)^Project_Master!$C$6),C40)</f>
        <v>0</v>
      </c>
      <c r="D42" s="280">
        <f>AVERAGE((D40*(1+D41)^Project_Master!$C$6),D40)</f>
        <v>0</v>
      </c>
      <c r="E42" s="280">
        <f>AVERAGE((E40*(1+E41)^Project_Master!$C$6),E40)</f>
        <v>0</v>
      </c>
      <c r="G42" s="154"/>
    </row>
    <row r="43" spans="1:14" x14ac:dyDescent="0.25">
      <c r="G43" s="154"/>
    </row>
    <row r="44" spans="1:14" s="150" customFormat="1" ht="45" x14ac:dyDescent="0.25">
      <c r="A44" s="181" t="e">
        <f>#REF!</f>
        <v>#REF!</v>
      </c>
      <c r="B44" s="163" t="s">
        <v>140</v>
      </c>
      <c r="C44" s="163" t="s">
        <v>141</v>
      </c>
      <c r="D44" s="163" t="s">
        <v>139</v>
      </c>
      <c r="E44" s="163" t="s">
        <v>142</v>
      </c>
      <c r="F44" s="176"/>
    </row>
    <row r="45" spans="1:14" x14ac:dyDescent="0.25">
      <c r="A45" s="152" t="s">
        <v>208</v>
      </c>
      <c r="B45" s="244">
        <v>0</v>
      </c>
      <c r="C45" s="245">
        <v>0</v>
      </c>
      <c r="D45" s="241">
        <v>0</v>
      </c>
      <c r="E45" s="245">
        <v>0</v>
      </c>
      <c r="G45" s="154"/>
    </row>
    <row r="46" spans="1:14" x14ac:dyDescent="0.25">
      <c r="A46" s="155" t="s">
        <v>209</v>
      </c>
      <c r="B46" s="246">
        <v>1.0999999999999999E-2</v>
      </c>
      <c r="C46" s="246">
        <v>1.0999999999999999E-2</v>
      </c>
      <c r="D46" s="246">
        <v>1.0999999999999999E-2</v>
      </c>
      <c r="E46" s="246">
        <v>1.0999999999999999E-2</v>
      </c>
      <c r="G46" s="154"/>
    </row>
    <row r="47" spans="1:14" x14ac:dyDescent="0.25">
      <c r="A47" s="165" t="s">
        <v>136</v>
      </c>
      <c r="B47" s="280">
        <f>AVERAGE((B45*(1+B46)^Project_Master!$C$6),B45)</f>
        <v>0</v>
      </c>
      <c r="C47" s="280">
        <f>AVERAGE((C45*(1+C46)^Project_Master!$C$6),C45)</f>
        <v>0</v>
      </c>
      <c r="D47" s="280">
        <f>AVERAGE((D45*(1+D46)^Project_Master!$C$6),D45)</f>
        <v>0</v>
      </c>
      <c r="E47" s="280">
        <f>AVERAGE((E45*(1+E46)^Project_Master!$C$6),E45)</f>
        <v>0</v>
      </c>
      <c r="G47" s="154"/>
    </row>
    <row r="48" spans="1:14" x14ac:dyDescent="0.25">
      <c r="G48" s="154"/>
    </row>
    <row r="49" spans="1:7" s="150" customFormat="1" x14ac:dyDescent="0.25">
      <c r="A49" s="150" t="s">
        <v>210</v>
      </c>
      <c r="C49" s="151"/>
      <c r="E49" s="151"/>
    </row>
    <row r="50" spans="1:7" ht="45" x14ac:dyDescent="0.25">
      <c r="A50" s="181" t="str">
        <f>B1</f>
        <v>FC 1.0/No Action</v>
      </c>
      <c r="B50" s="163" t="s">
        <v>140</v>
      </c>
      <c r="C50" s="163" t="s">
        <v>141</v>
      </c>
      <c r="D50" s="163" t="s">
        <v>139</v>
      </c>
      <c r="E50" s="163" t="s">
        <v>142</v>
      </c>
      <c r="F50" s="163" t="s">
        <v>149</v>
      </c>
      <c r="G50" s="164" t="s">
        <v>138</v>
      </c>
    </row>
    <row r="51" spans="1:7" x14ac:dyDescent="0.25">
      <c r="A51" s="152" t="s">
        <v>6</v>
      </c>
      <c r="B51" s="177"/>
      <c r="C51" s="178"/>
      <c r="D51" s="177"/>
      <c r="E51" s="178"/>
      <c r="F51" s="178">
        <f>F52*0.9</f>
        <v>1695769.3145454542</v>
      </c>
      <c r="G51" s="178">
        <f>IF($G$38=0,F51*$G$35,F51*((1-((1+$G$38)^-($G$35)))/$G$38))</f>
        <v>40688120.569794424</v>
      </c>
    </row>
    <row r="52" spans="1:7" x14ac:dyDescent="0.25">
      <c r="A52" s="155" t="s">
        <v>4</v>
      </c>
      <c r="B52" s="179">
        <f>B37*B10</f>
        <v>1884188.127272727</v>
      </c>
      <c r="C52" s="179">
        <f>C37*B11</f>
        <v>0</v>
      </c>
      <c r="D52" s="179">
        <f>D37*B12</f>
        <v>0</v>
      </c>
      <c r="E52" s="179">
        <f>E37*B13</f>
        <v>0</v>
      </c>
      <c r="F52" s="179">
        <f t="shared" ref="F52" si="0">SUM(B52:E52)</f>
        <v>1884188.127272727</v>
      </c>
      <c r="G52" s="179">
        <f>IF($G$38=0,F52*$G$35,F52*((1-((1+$G$38)^-($G$35)))/$G$38))</f>
        <v>45209022.855327137</v>
      </c>
    </row>
    <row r="53" spans="1:7" x14ac:dyDescent="0.25">
      <c r="A53" s="165" t="s">
        <v>5</v>
      </c>
      <c r="B53" s="180"/>
      <c r="C53" s="180"/>
      <c r="D53" s="180"/>
      <c r="E53" s="180"/>
      <c r="F53" s="180">
        <f>F52*1.1</f>
        <v>2072606.94</v>
      </c>
      <c r="G53" s="180">
        <f>IF($G$38=0,F53*$G$35,F53*((1-((1+$G$38)^-($G$35)))/$G$38))</f>
        <v>49729925.140859857</v>
      </c>
    </row>
    <row r="54" spans="1:7" x14ac:dyDescent="0.25">
      <c r="G54" s="154"/>
    </row>
    <row r="55" spans="1:7" ht="45" x14ac:dyDescent="0.25">
      <c r="A55" s="181" t="str">
        <f>D1</f>
        <v>FC 2.0</v>
      </c>
      <c r="B55" s="163" t="s">
        <v>140</v>
      </c>
      <c r="C55" s="163" t="s">
        <v>141</v>
      </c>
      <c r="D55" s="163" t="s">
        <v>139</v>
      </c>
      <c r="E55" s="163" t="s">
        <v>142</v>
      </c>
      <c r="F55" s="163" t="s">
        <v>149</v>
      </c>
      <c r="G55" s="164" t="s">
        <v>138</v>
      </c>
    </row>
    <row r="56" spans="1:7" x14ac:dyDescent="0.25">
      <c r="A56" s="152" t="s">
        <v>6</v>
      </c>
      <c r="B56" s="177"/>
      <c r="C56" s="178"/>
      <c r="D56" s="177"/>
      <c r="E56" s="178"/>
      <c r="F56" s="178">
        <f>F57*0.9</f>
        <v>2642518.8510619849</v>
      </c>
      <c r="G56" s="178">
        <f>IF($G$38=0,F56*$G$35,F56*((1-((1+$G$38)^-($G$35)))/$G$38))</f>
        <v>63404334.951528974</v>
      </c>
    </row>
    <row r="57" spans="1:7" x14ac:dyDescent="0.25">
      <c r="A57" s="155" t="s">
        <v>4</v>
      </c>
      <c r="B57" s="179">
        <f>B42*D10</f>
        <v>2936132.0567355389</v>
      </c>
      <c r="C57" s="179">
        <f>C42*D11</f>
        <v>0</v>
      </c>
      <c r="D57" s="179">
        <f>D42*D12</f>
        <v>0</v>
      </c>
      <c r="E57" s="179">
        <f>E42*D13</f>
        <v>0</v>
      </c>
      <c r="F57" s="179">
        <f t="shared" ref="F57" si="1">SUM(B57:E57)</f>
        <v>2936132.0567355389</v>
      </c>
      <c r="G57" s="179">
        <f>IF($G$38=0,F57*$G$35,F57*((1-((1+$G$38)^-($G$35)))/$G$38))</f>
        <v>70449261.057254419</v>
      </c>
    </row>
    <row r="58" spans="1:7" x14ac:dyDescent="0.25">
      <c r="A58" s="165" t="s">
        <v>5</v>
      </c>
      <c r="B58" s="180"/>
      <c r="C58" s="180"/>
      <c r="D58" s="180"/>
      <c r="E58" s="180"/>
      <c r="F58" s="180">
        <f>F57*1.1</f>
        <v>3229745.2624090929</v>
      </c>
      <c r="G58" s="180">
        <f>IF($G$38=0,F58*$G$35,F58*((1-((1+$G$38)^-($G$35)))/$G$38))</f>
        <v>77494187.162979871</v>
      </c>
    </row>
    <row r="59" spans="1:7" x14ac:dyDescent="0.25">
      <c r="G59" s="154"/>
    </row>
    <row r="63" spans="1:7" s="155" customFormat="1" x14ac:dyDescent="0.25">
      <c r="G63" s="156"/>
    </row>
    <row r="64" spans="1:7" s="155" customFormat="1" x14ac:dyDescent="0.25">
      <c r="G64" s="156"/>
    </row>
    <row r="65" spans="7:7" s="155" customFormat="1" x14ac:dyDescent="0.25">
      <c r="G65" s="156"/>
    </row>
    <row r="66" spans="7:7" s="155" customFormat="1" x14ac:dyDescent="0.25">
      <c r="G66" s="156"/>
    </row>
    <row r="67" spans="7:7" s="155" customFormat="1" x14ac:dyDescent="0.25">
      <c r="G67" s="156"/>
    </row>
    <row r="68" spans="7:7" s="155" customFormat="1" x14ac:dyDescent="0.25">
      <c r="G68" s="156"/>
    </row>
    <row r="69" spans="7:7" s="155" customFormat="1" x14ac:dyDescent="0.25">
      <c r="G69" s="156"/>
    </row>
    <row r="70" spans="7:7" s="155" customFormat="1" x14ac:dyDescent="0.25">
      <c r="G70" s="156"/>
    </row>
    <row r="71" spans="7:7" s="155" customFormat="1" x14ac:dyDescent="0.25">
      <c r="G71" s="156"/>
    </row>
    <row r="72" spans="7:7" s="155" customFormat="1" x14ac:dyDescent="0.25">
      <c r="G72" s="156"/>
    </row>
    <row r="73" spans="7:7" s="155" customFormat="1" x14ac:dyDescent="0.25">
      <c r="G73" s="156"/>
    </row>
    <row r="74" spans="7:7" s="155" customFormat="1" x14ac:dyDescent="0.25">
      <c r="G74" s="156"/>
    </row>
    <row r="75" spans="7:7" s="155" customFormat="1" x14ac:dyDescent="0.25">
      <c r="G75" s="156"/>
    </row>
    <row r="76" spans="7:7" s="155" customFormat="1" x14ac:dyDescent="0.25">
      <c r="G76" s="156"/>
    </row>
    <row r="77" spans="7:7" s="159" customFormat="1" x14ac:dyDescent="0.25">
      <c r="G77" s="160"/>
    </row>
  </sheetData>
  <phoneticPr fontId="33" type="noConversion"/>
  <pageMargins left="0.25" right="0.25" top="0.75" bottom="0.75" header="0.3" footer="0.3"/>
  <pageSetup orientation="landscape" horizontalDpi="4294967292" verticalDpi="4294967292"/>
  <rowBreaks count="2" manualBreakCount="2">
    <brk id="15" max="16383" man="1"/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view="pageLayout" zoomScale="80" workbookViewId="0">
      <selection activeCell="G11" sqref="G11"/>
    </sheetView>
  </sheetViews>
  <sheetFormatPr defaultColWidth="10.875" defaultRowHeight="12.75" x14ac:dyDescent="0.2"/>
  <cols>
    <col min="1" max="1" width="26.875" style="61" customWidth="1"/>
    <col min="2" max="2" width="11" style="61" customWidth="1"/>
    <col min="3" max="3" width="10.125" style="62" customWidth="1"/>
    <col min="4" max="4" width="9.5" style="62" customWidth="1"/>
    <col min="5" max="5" width="8.5" style="62" bestFit="1" customWidth="1"/>
    <col min="6" max="6" width="11.375" style="62" customWidth="1"/>
    <col min="7" max="7" width="11.125" style="62" bestFit="1" customWidth="1"/>
    <col min="8" max="8" width="10.125" style="62" customWidth="1"/>
    <col min="9" max="9" width="9.625" style="61" bestFit="1" customWidth="1"/>
    <col min="10" max="10" width="9.375" style="61" customWidth="1"/>
    <col min="11" max="11" width="6.5" style="61" bestFit="1" customWidth="1"/>
    <col min="12" max="12" width="6.625" style="61" bestFit="1" customWidth="1"/>
    <col min="13" max="13" width="6" style="61" bestFit="1" customWidth="1"/>
    <col min="14" max="14" width="8.375" style="61" bestFit="1" customWidth="1"/>
    <col min="15" max="15" width="9.5" style="61" bestFit="1" customWidth="1"/>
    <col min="16" max="16" width="12.625" style="61" bestFit="1" customWidth="1"/>
    <col min="17" max="17" width="10.875" style="61"/>
    <col min="18" max="18" width="10.125" style="62" customWidth="1"/>
    <col min="19" max="19" width="9.625" style="61" bestFit="1" customWidth="1"/>
    <col min="20" max="20" width="9.375" style="61" customWidth="1"/>
    <col min="21" max="21" width="6.5" style="61" bestFit="1" customWidth="1"/>
    <col min="22" max="22" width="6.625" style="61" bestFit="1" customWidth="1"/>
    <col min="23" max="23" width="6" style="61" bestFit="1" customWidth="1"/>
    <col min="24" max="24" width="8.375" style="61" bestFit="1" customWidth="1"/>
    <col min="25" max="25" width="9.5" style="61" bestFit="1" customWidth="1"/>
    <col min="26" max="26" width="11.625" style="61" bestFit="1" customWidth="1"/>
    <col min="27" max="27" width="10.875" style="61"/>
    <col min="28" max="28" width="22.625" style="61" bestFit="1" customWidth="1"/>
    <col min="29" max="29" width="6.125" style="61" bestFit="1" customWidth="1"/>
    <col min="30" max="30" width="9.5" style="61" bestFit="1" customWidth="1"/>
    <col min="31" max="31" width="10.625" style="61" customWidth="1"/>
    <col min="32" max="32" width="5.375" style="61" customWidth="1"/>
    <col min="33" max="33" width="13" style="61" bestFit="1" customWidth="1"/>
    <col min="34" max="34" width="5.125" style="61" bestFit="1" customWidth="1"/>
    <col min="35" max="35" width="3.875" style="61" bestFit="1" customWidth="1"/>
    <col min="36" max="36" width="5.125" style="61" bestFit="1" customWidth="1"/>
    <col min="37" max="37" width="4.625" style="61" bestFit="1" customWidth="1"/>
    <col min="38" max="16384" width="10.875" style="61"/>
  </cols>
  <sheetData>
    <row r="1" spans="1:27" ht="26.25" x14ac:dyDescent="0.25">
      <c r="A1" s="44" t="s">
        <v>250</v>
      </c>
      <c r="B1" s="45" t="s">
        <v>67</v>
      </c>
      <c r="C1" s="45" t="s">
        <v>68</v>
      </c>
      <c r="D1" s="46" t="s">
        <v>69</v>
      </c>
      <c r="E1" s="46" t="s">
        <v>70</v>
      </c>
      <c r="F1" s="46" t="s">
        <v>71</v>
      </c>
      <c r="H1" s="220" t="str">
        <f>Project_Master!B14</f>
        <v>FC 1.0/No Action</v>
      </c>
      <c r="R1" s="220" t="str">
        <f>Alternatives_Assumptions!G1</f>
        <v>FC 2.0</v>
      </c>
      <c r="S1" s="350"/>
    </row>
    <row r="2" spans="1:27" x14ac:dyDescent="0.2">
      <c r="A2" s="50" t="s">
        <v>72</v>
      </c>
      <c r="B2" s="51">
        <v>17</v>
      </c>
      <c r="C2" s="213">
        <v>6565.9222044136395</v>
      </c>
      <c r="D2" s="213">
        <v>-390.7720443160693</v>
      </c>
      <c r="E2" s="213">
        <v>6180.9251164175121</v>
      </c>
      <c r="F2" s="213">
        <v>12938.050030643617</v>
      </c>
      <c r="H2" s="60" t="s">
        <v>176</v>
      </c>
      <c r="K2" s="217"/>
      <c r="L2" s="217" t="s">
        <v>52</v>
      </c>
      <c r="M2" s="221">
        <f>Benefits_FloodRisk!B2</f>
        <v>3.3750000000000002E-2</v>
      </c>
      <c r="N2" s="217" t="s">
        <v>15</v>
      </c>
      <c r="O2" s="222">
        <f>NPV($M$2,O6:O55)</f>
        <v>151758.31659820522</v>
      </c>
      <c r="P2" s="222">
        <f>NPV($M$2,P6:P55)</f>
        <v>130129289.32953623</v>
      </c>
      <c r="Q2" s="222">
        <f>NPV($M$2,Q6:Q55)</f>
        <v>332157848.84620422</v>
      </c>
      <c r="R2" s="60" t="s">
        <v>176</v>
      </c>
      <c r="U2" s="217"/>
      <c r="V2" s="217" t="s">
        <v>52</v>
      </c>
      <c r="W2" s="221">
        <f>M2</f>
        <v>3.3750000000000002E-2</v>
      </c>
      <c r="X2" s="217" t="s">
        <v>15</v>
      </c>
      <c r="Y2" s="222">
        <f>NPV($M$2,Y6:Y55)</f>
        <v>169493.2450173301</v>
      </c>
      <c r="Z2" s="222">
        <f>NPV($M$2,Z6:Z55)</f>
        <v>146995136.82644668</v>
      </c>
      <c r="AA2" s="222">
        <f>NPV($M$2,AA6:AA55)</f>
        <v>374371180.80567443</v>
      </c>
    </row>
    <row r="3" spans="1:27" x14ac:dyDescent="0.2">
      <c r="A3" s="53" t="s">
        <v>74</v>
      </c>
      <c r="B3" s="54">
        <v>7</v>
      </c>
      <c r="C3" s="214">
        <v>15084.501343124408</v>
      </c>
      <c r="D3" s="214">
        <v>-5103.7504497707932</v>
      </c>
      <c r="E3" s="214">
        <v>10056.175776847764</v>
      </c>
      <c r="F3" s="214">
        <v>25517.787276771749</v>
      </c>
      <c r="J3" s="62"/>
      <c r="N3" s="217" t="s">
        <v>51</v>
      </c>
      <c r="O3" s="222">
        <f>($M$2*O2)/(1-(1+$M$2)^-Project_Master!$C$6)</f>
        <v>6324.8705742716675</v>
      </c>
      <c r="P3" s="222">
        <f>($M$2*P2)/(1-(1+$M$2)^-Project_Master!$C$6)</f>
        <v>5423432.0159887802</v>
      </c>
      <c r="Q3" s="222">
        <f>($M$2*Q2)/(1-(1+$M$2)^-Project_Master!$C$6)</f>
        <v>13843428.49389237</v>
      </c>
      <c r="T3" s="62"/>
      <c r="X3" s="217" t="s">
        <v>51</v>
      </c>
      <c r="Y3" s="222">
        <f>($M$2*Y2)/(1-(1+$M$2)^-Project_Master!$C$6)</f>
        <v>7064.0137685911013</v>
      </c>
      <c r="Z3" s="222">
        <f>($M$2*Z2)/(1-(1+$M$2)^-Project_Master!$C$6)</f>
        <v>6126354.30014796</v>
      </c>
      <c r="AA3" s="222">
        <f>($M$2*AA2)/(1-(1+$M$2)^-Project_Master!$C$6)</f>
        <v>15602764.43763051</v>
      </c>
    </row>
    <row r="4" spans="1:27" x14ac:dyDescent="0.2">
      <c r="A4" s="53" t="s">
        <v>75</v>
      </c>
      <c r="B4" s="54">
        <v>8</v>
      </c>
      <c r="C4" s="214">
        <v>24310.44277893367</v>
      </c>
      <c r="D4" s="214">
        <v>-9710.4185049454045</v>
      </c>
      <c r="E4" s="214">
        <v>14743.527995736225</v>
      </c>
      <c r="F4" s="214">
        <v>39639.780336289943</v>
      </c>
      <c r="H4" s="66" t="s">
        <v>178</v>
      </c>
    </row>
    <row r="5" spans="1:27" ht="38.25" x14ac:dyDescent="0.2">
      <c r="A5" s="53" t="s">
        <v>76</v>
      </c>
      <c r="B5" s="54">
        <v>4</v>
      </c>
      <c r="C5" s="214">
        <v>19.800178521253194</v>
      </c>
      <c r="D5" s="214">
        <v>24.313507808408968</v>
      </c>
      <c r="E5" s="214">
        <v>43.754373406385184</v>
      </c>
      <c r="F5" s="214">
        <v>64.507870206552951</v>
      </c>
      <c r="H5" s="219" t="s">
        <v>79</v>
      </c>
      <c r="I5" s="218" t="s">
        <v>229</v>
      </c>
      <c r="J5" s="218" t="s">
        <v>73</v>
      </c>
      <c r="K5" s="218" t="s">
        <v>230</v>
      </c>
      <c r="L5" s="219" t="s">
        <v>231</v>
      </c>
      <c r="M5" s="219" t="s">
        <v>232</v>
      </c>
      <c r="N5" s="219" t="s">
        <v>233</v>
      </c>
      <c r="O5" s="223" t="s">
        <v>6</v>
      </c>
      <c r="P5" s="226" t="s">
        <v>4</v>
      </c>
      <c r="Q5" s="224" t="s">
        <v>5</v>
      </c>
      <c r="R5" s="219" t="s">
        <v>79</v>
      </c>
      <c r="S5" s="218" t="s">
        <v>229</v>
      </c>
      <c r="T5" s="218" t="s">
        <v>73</v>
      </c>
      <c r="U5" s="218" t="s">
        <v>230</v>
      </c>
      <c r="V5" s="219" t="s">
        <v>231</v>
      </c>
      <c r="W5" s="219" t="s">
        <v>232</v>
      </c>
      <c r="X5" s="219" t="s">
        <v>233</v>
      </c>
      <c r="Y5" s="223" t="s">
        <v>6</v>
      </c>
      <c r="Z5" s="226" t="s">
        <v>4</v>
      </c>
      <c r="AA5" s="224" t="s">
        <v>5</v>
      </c>
    </row>
    <row r="6" spans="1:27" x14ac:dyDescent="0.2">
      <c r="A6" s="53" t="s">
        <v>77</v>
      </c>
      <c r="B6" s="54">
        <v>5</v>
      </c>
      <c r="C6" s="214">
        <v>1581.8414923433147</v>
      </c>
      <c r="D6" s="214">
        <v>-794.87382422011353</v>
      </c>
      <c r="E6" s="214">
        <v>798.71457192940966</v>
      </c>
      <c r="F6" s="214">
        <v>2416.2644052368146</v>
      </c>
      <c r="H6" s="61">
        <v>1</v>
      </c>
      <c r="I6" s="239">
        <v>927</v>
      </c>
      <c r="J6" s="393">
        <v>88</v>
      </c>
      <c r="K6" s="393">
        <v>81</v>
      </c>
      <c r="L6" s="393">
        <v>71</v>
      </c>
      <c r="M6" s="393">
        <v>102</v>
      </c>
      <c r="N6" s="240">
        <v>116</v>
      </c>
      <c r="O6" s="329">
        <f>I6*AVERAGE($B$12:$G$12)+J6*AVERAGE($B$13:$G$13)+K6*AVERAGE($B$14:$G$14)+L6*AVERAGE($B$15:$G$15)+M6*AVERAGE($B$16:$G$16)+N6*AVERAGE($B$17:$G$17)</f>
        <v>6324.8705742716611</v>
      </c>
      <c r="P6" s="225">
        <f>I6*AVERAGE($B$20:$G$20)+J6*AVERAGE($B$21:$G$21)+K6*AVERAGE($B$22:$G$22)+L6*AVERAGE($B$23:$G$23)+M6*AVERAGE($B$24:$G$24)+N6*AVERAGE($B$25:$G$25)</f>
        <v>5423432.0159887727</v>
      </c>
      <c r="Q6" s="225">
        <f>I6*AVERAGE($B$28:$G$28)+J6*AVERAGE($B$29:$G$29)+K6*AVERAGE($B$30:$G$30)+L6*AVERAGE($B$31:$G$31)+M6*AVERAGE($B$32:$G$32)+N6*AVERAGE($B$33:$G$33)</f>
        <v>13843428.493892347</v>
      </c>
      <c r="R6" s="61">
        <v>1</v>
      </c>
      <c r="S6" s="327">
        <f>$B$37</f>
        <v>927</v>
      </c>
      <c r="T6" s="328">
        <f>$B$38</f>
        <v>88</v>
      </c>
      <c r="U6" s="328">
        <f>$B$39</f>
        <v>81</v>
      </c>
      <c r="V6" s="328">
        <f>$B$40</f>
        <v>71</v>
      </c>
      <c r="W6" s="328">
        <f>$B$41</f>
        <v>102</v>
      </c>
      <c r="X6" s="328">
        <f>$B$42</f>
        <v>116</v>
      </c>
      <c r="Y6" s="225">
        <f t="shared" ref="Y6:Y25" si="0">S6*AVERAGE($B$12:$G$12)+T6*AVERAGE($B$13:$G$13)+U6*AVERAGE($B$14:$G$14)+V6*AVERAGE($B$15:$G$15)+W6*AVERAGE($B$16:$G$16)+X6*AVERAGE($B$17:$G$17)</f>
        <v>6324.8705742716611</v>
      </c>
      <c r="Z6" s="225">
        <f>S6*AVERAGE($B$20:$G$20)+T6*AVERAGE($B$21:$G$21)+U6*AVERAGE($B$22:$G$22)+V6*AVERAGE($B$23:$G$23)+W6*AVERAGE($B$24:$G$24)+X6*AVERAGE($B$25:$G$25)</f>
        <v>5423432.0159887727</v>
      </c>
      <c r="AA6" s="225">
        <f>S6*AVERAGE($B$28:$G$28)+T6*AVERAGE($B$29:$G$29)+U6*AVERAGE($B$30:$G$30)+V6*AVERAGE($B$31:$G$31)+W6*AVERAGE($B$32:$G$32)+X6*AVERAGE($B$33:$G$33)</f>
        <v>13843428.493892347</v>
      </c>
    </row>
    <row r="7" spans="1:27" x14ac:dyDescent="0.2">
      <c r="A7" s="58" t="s">
        <v>78</v>
      </c>
      <c r="B7" s="59">
        <v>3</v>
      </c>
      <c r="C7" s="215" t="s">
        <v>244</v>
      </c>
      <c r="D7" s="215">
        <v>16.25</v>
      </c>
      <c r="E7" s="215">
        <v>46</v>
      </c>
      <c r="F7" s="215">
        <v>188</v>
      </c>
      <c r="G7" s="344" t="s">
        <v>200</v>
      </c>
      <c r="H7" s="61">
        <v>2</v>
      </c>
      <c r="I7" s="239">
        <v>927</v>
      </c>
      <c r="J7" s="393">
        <v>88</v>
      </c>
      <c r="K7" s="393">
        <v>81</v>
      </c>
      <c r="L7" s="393">
        <v>71</v>
      </c>
      <c r="M7" s="393">
        <v>102</v>
      </c>
      <c r="N7" s="240">
        <v>116</v>
      </c>
      <c r="O7" s="225">
        <f t="shared" ref="O7:O25" si="1">I7*AVERAGE($B$12:$G$12)+J7*AVERAGE($B$13:$G$13)+K7*AVERAGE($B$14:$G$14)+L7*AVERAGE($B$15:$G$15)+M7*AVERAGE($B$16:$G$16)+N7*AVERAGE($B$17:$G$17)</f>
        <v>6324.8705742716611</v>
      </c>
      <c r="P7" s="225">
        <f t="shared" ref="P7:P25" si="2">I7*AVERAGE($B$20:$G$20)+J7*AVERAGE($B$21:$G$21)+K7*AVERAGE($B$22:$G$22)+L7*AVERAGE($B$23:$G$23)+M7*AVERAGE($B$24:$G$24)+N7*AVERAGE($B$25:$G$25)</f>
        <v>5423432.0159887727</v>
      </c>
      <c r="Q7" s="225">
        <f t="shared" ref="Q7:Q25" si="3">I7*AVERAGE($B$28:$G$28)+J7*AVERAGE($B$29:$G$29)+K7*AVERAGE($B$30:$G$30)+L7*AVERAGE($B$31:$G$31)+M7*AVERAGE($B$32:$G$32)+N7*AVERAGE($B$33:$G$33)</f>
        <v>13843428.493892347</v>
      </c>
      <c r="R7" s="61">
        <v>2</v>
      </c>
      <c r="S7" s="327">
        <f>$B$37</f>
        <v>927</v>
      </c>
      <c r="T7" s="327">
        <f>$B$38</f>
        <v>88</v>
      </c>
      <c r="U7" s="327">
        <f>$B$39</f>
        <v>81</v>
      </c>
      <c r="V7" s="327">
        <f>$B$40</f>
        <v>71</v>
      </c>
      <c r="W7" s="327">
        <f>$B$41</f>
        <v>102</v>
      </c>
      <c r="X7" s="328">
        <f>$B$42</f>
        <v>116</v>
      </c>
      <c r="Y7" s="225">
        <f t="shared" si="0"/>
        <v>6324.8705742716611</v>
      </c>
      <c r="Z7" s="225">
        <f t="shared" ref="Z7:Z25" si="4">S7*AVERAGE($B$20:$G$20)+T7*AVERAGE($B$21:$G$21)+U7*AVERAGE($B$22:$G$22)+V7*AVERAGE($B$23:$G$23)+W7*AVERAGE($B$24:$G$24)+X7*AVERAGE($B$25:$G$25)</f>
        <v>5423432.0159887727</v>
      </c>
      <c r="AA7" s="225">
        <f t="shared" ref="AA7:AA25" si="5">S7*AVERAGE($B$28:$G$28)+T7*AVERAGE($B$29:$G$29)+U7*AVERAGE($B$30:$G$30)+V7*AVERAGE($B$31:$G$31)+W7*AVERAGE($B$32:$G$32)+X7*AVERAGE($B$33:$G$33)</f>
        <v>13843428.493892347</v>
      </c>
    </row>
    <row r="8" spans="1:27" x14ac:dyDescent="0.2">
      <c r="B8" s="349">
        <f>SUM(B2:B7)</f>
        <v>44</v>
      </c>
      <c r="H8" s="61">
        <v>3</v>
      </c>
      <c r="I8" s="239">
        <v>927</v>
      </c>
      <c r="J8" s="393">
        <v>88</v>
      </c>
      <c r="K8" s="393">
        <v>81</v>
      </c>
      <c r="L8" s="393">
        <v>71</v>
      </c>
      <c r="M8" s="393">
        <v>102</v>
      </c>
      <c r="N8" s="240">
        <v>116</v>
      </c>
      <c r="O8" s="225">
        <f t="shared" si="1"/>
        <v>6324.8705742716611</v>
      </c>
      <c r="P8" s="225">
        <f t="shared" si="2"/>
        <v>5423432.0159887727</v>
      </c>
      <c r="Q8" s="225">
        <f t="shared" si="3"/>
        <v>13843428.493892347</v>
      </c>
      <c r="R8" s="61">
        <v>3</v>
      </c>
      <c r="S8" s="327">
        <f>$B$37</f>
        <v>927</v>
      </c>
      <c r="T8" s="327">
        <f>$B$38</f>
        <v>88</v>
      </c>
      <c r="U8" s="327">
        <f>$B$39</f>
        <v>81</v>
      </c>
      <c r="V8" s="327">
        <f>$B$40</f>
        <v>71</v>
      </c>
      <c r="W8" s="327">
        <f>$B$41</f>
        <v>102</v>
      </c>
      <c r="X8" s="328">
        <f>$B$42</f>
        <v>116</v>
      </c>
      <c r="Y8" s="225">
        <f t="shared" si="0"/>
        <v>6324.8705742716611</v>
      </c>
      <c r="Z8" s="225">
        <f t="shared" si="4"/>
        <v>5423432.0159887727</v>
      </c>
      <c r="AA8" s="225">
        <f t="shared" si="5"/>
        <v>13843428.493892347</v>
      </c>
    </row>
    <row r="9" spans="1:27" x14ac:dyDescent="0.2">
      <c r="H9" s="61">
        <v>4</v>
      </c>
      <c r="I9" s="239">
        <v>927</v>
      </c>
      <c r="J9" s="393">
        <v>88</v>
      </c>
      <c r="K9" s="393">
        <v>81</v>
      </c>
      <c r="L9" s="393">
        <v>71</v>
      </c>
      <c r="M9" s="393">
        <v>102</v>
      </c>
      <c r="N9" s="240">
        <v>116</v>
      </c>
      <c r="O9" s="225">
        <f t="shared" si="1"/>
        <v>6324.8705742716611</v>
      </c>
      <c r="P9" s="225">
        <f t="shared" si="2"/>
        <v>5423432.0159887727</v>
      </c>
      <c r="Q9" s="225">
        <f t="shared" si="3"/>
        <v>13843428.493892347</v>
      </c>
      <c r="R9" s="61">
        <v>4</v>
      </c>
      <c r="S9" s="327">
        <f>$B$37</f>
        <v>927</v>
      </c>
      <c r="T9" s="327">
        <f>$B$38</f>
        <v>88</v>
      </c>
      <c r="U9" s="327">
        <f>$B$39</f>
        <v>81</v>
      </c>
      <c r="V9" s="327">
        <f>$B$40</f>
        <v>71</v>
      </c>
      <c r="W9" s="327">
        <f>$B$41</f>
        <v>102</v>
      </c>
      <c r="X9" s="328">
        <f>$B$42</f>
        <v>116</v>
      </c>
      <c r="Y9" s="225">
        <f t="shared" si="0"/>
        <v>6324.8705742716611</v>
      </c>
      <c r="Z9" s="225">
        <f t="shared" si="4"/>
        <v>5423432.0159887727</v>
      </c>
      <c r="AA9" s="225">
        <f t="shared" si="5"/>
        <v>13843428.493892347</v>
      </c>
    </row>
    <row r="10" spans="1:27" s="66" customFormat="1" x14ac:dyDescent="0.2">
      <c r="A10" s="216" t="s">
        <v>177</v>
      </c>
      <c r="B10" s="217"/>
      <c r="C10" s="217"/>
      <c r="D10" s="217"/>
      <c r="E10" s="217"/>
      <c r="F10" s="217"/>
      <c r="G10" s="217"/>
      <c r="H10" s="61">
        <v>5</v>
      </c>
      <c r="I10" s="239">
        <v>927</v>
      </c>
      <c r="J10" s="393">
        <v>88</v>
      </c>
      <c r="K10" s="393">
        <v>81</v>
      </c>
      <c r="L10" s="393">
        <v>71</v>
      </c>
      <c r="M10" s="393">
        <v>102</v>
      </c>
      <c r="N10" s="240">
        <v>116</v>
      </c>
      <c r="O10" s="225">
        <f t="shared" si="1"/>
        <v>6324.8705742716611</v>
      </c>
      <c r="P10" s="225">
        <f t="shared" si="2"/>
        <v>5423432.0159887727</v>
      </c>
      <c r="Q10" s="225">
        <f t="shared" si="3"/>
        <v>13843428.493892347</v>
      </c>
      <c r="R10" s="61">
        <v>5</v>
      </c>
      <c r="S10" s="327">
        <f>$B$37</f>
        <v>927</v>
      </c>
      <c r="T10" s="327">
        <f>$B$38</f>
        <v>88</v>
      </c>
      <c r="U10" s="327">
        <f>$B$39</f>
        <v>81</v>
      </c>
      <c r="V10" s="327">
        <f>$B$40</f>
        <v>71</v>
      </c>
      <c r="W10" s="327">
        <f>$B$41</f>
        <v>102</v>
      </c>
      <c r="X10" s="328">
        <f>$B$42</f>
        <v>116</v>
      </c>
      <c r="Y10" s="225">
        <f t="shared" si="0"/>
        <v>6324.8705742716611</v>
      </c>
      <c r="Z10" s="225">
        <f t="shared" si="4"/>
        <v>5423432.0159887727</v>
      </c>
      <c r="AA10" s="225">
        <f t="shared" si="5"/>
        <v>13843428.493892347</v>
      </c>
    </row>
    <row r="11" spans="1:27" s="42" customFormat="1" ht="51" x14ac:dyDescent="0.2">
      <c r="A11" s="42" t="s">
        <v>6</v>
      </c>
      <c r="B11" s="43" t="s">
        <v>61</v>
      </c>
      <c r="C11" s="43" t="s">
        <v>62</v>
      </c>
      <c r="D11" s="43" t="s">
        <v>63</v>
      </c>
      <c r="E11" s="43" t="s">
        <v>64</v>
      </c>
      <c r="F11" s="43" t="s">
        <v>65</v>
      </c>
      <c r="G11" s="43" t="s">
        <v>66</v>
      </c>
      <c r="H11" s="61">
        <v>6</v>
      </c>
      <c r="I11" s="239">
        <v>927</v>
      </c>
      <c r="J11" s="393">
        <v>88</v>
      </c>
      <c r="K11" s="393">
        <v>81</v>
      </c>
      <c r="L11" s="393">
        <v>71</v>
      </c>
      <c r="M11" s="393">
        <v>102</v>
      </c>
      <c r="N11" s="240">
        <v>116</v>
      </c>
      <c r="O11" s="225">
        <f t="shared" si="1"/>
        <v>6324.8705742716611</v>
      </c>
      <c r="P11" s="225">
        <f t="shared" si="2"/>
        <v>5423432.0159887727</v>
      </c>
      <c r="Q11" s="225">
        <f t="shared" si="3"/>
        <v>13843428.493892347</v>
      </c>
      <c r="R11" s="61">
        <v>6</v>
      </c>
      <c r="S11" s="327">
        <f>S10-($S$6-$S$30)/20</f>
        <v>880.65</v>
      </c>
      <c r="T11" s="327">
        <f>T10-($T$6-$T$30)/20</f>
        <v>141.15</v>
      </c>
      <c r="U11" s="327">
        <f>U10-($U$6-$U$30)/20</f>
        <v>80</v>
      </c>
      <c r="V11" s="327">
        <f>V10-($V$6-$V$30)/20</f>
        <v>71</v>
      </c>
      <c r="W11" s="327">
        <f>W10-($W$6-$W$30)/20</f>
        <v>102</v>
      </c>
      <c r="X11" s="328">
        <f>X10-($X$6-$X$30)/20</f>
        <v>110.2</v>
      </c>
      <c r="Y11" s="225">
        <f t="shared" si="0"/>
        <v>6393.018689324208</v>
      </c>
      <c r="Z11" s="225">
        <f t="shared" si="4"/>
        <v>5488240.6066137403</v>
      </c>
      <c r="AA11" s="225">
        <f t="shared" si="5"/>
        <v>14005637.155531103</v>
      </c>
    </row>
    <row r="12" spans="1:27" s="49" customFormat="1" x14ac:dyDescent="0.2">
      <c r="A12" s="47" t="s">
        <v>229</v>
      </c>
      <c r="B12" s="48">
        <v>0</v>
      </c>
      <c r="C12" s="48">
        <f>0*$B$46</f>
        <v>0</v>
      </c>
      <c r="D12" s="48">
        <f>0*$B$46</f>
        <v>0</v>
      </c>
      <c r="E12" s="335">
        <f>C5*B49</f>
        <v>15.840142817002556</v>
      </c>
      <c r="F12" s="335">
        <f>D7</f>
        <v>16.25</v>
      </c>
      <c r="G12" s="48">
        <v>0</v>
      </c>
      <c r="H12" s="61">
        <v>7</v>
      </c>
      <c r="I12" s="239">
        <v>927</v>
      </c>
      <c r="J12" s="393">
        <v>88</v>
      </c>
      <c r="K12" s="393">
        <v>81</v>
      </c>
      <c r="L12" s="393">
        <v>71</v>
      </c>
      <c r="M12" s="393">
        <v>102</v>
      </c>
      <c r="N12" s="240">
        <v>116</v>
      </c>
      <c r="O12" s="225">
        <f t="shared" si="1"/>
        <v>6324.8705742716611</v>
      </c>
      <c r="P12" s="225">
        <f t="shared" si="2"/>
        <v>5423432.0159887727</v>
      </c>
      <c r="Q12" s="225">
        <f t="shared" si="3"/>
        <v>13843428.493892347</v>
      </c>
      <c r="R12" s="61">
        <v>7</v>
      </c>
      <c r="S12" s="327">
        <f t="shared" ref="S12:S29" si="6">S11-($S$6-$S$30)/20</f>
        <v>834.3</v>
      </c>
      <c r="T12" s="327">
        <f t="shared" ref="T12:T29" si="7">T11-($T$6-$T$30)/20</f>
        <v>194.3</v>
      </c>
      <c r="U12" s="327">
        <f t="shared" ref="U12:U29" si="8">U11-($U$6-$U$30)/20</f>
        <v>79</v>
      </c>
      <c r="V12" s="327">
        <f t="shared" ref="V12:V29" si="9">V11-($V$6-$V$30)/20</f>
        <v>71</v>
      </c>
      <c r="W12" s="327">
        <f t="shared" ref="W12:W29" si="10">W11-($W$6-$W$30)/20</f>
        <v>102</v>
      </c>
      <c r="X12" s="328">
        <f t="shared" ref="X12:X29" si="11">X11-($X$6-$X$30)/20</f>
        <v>104.4</v>
      </c>
      <c r="Y12" s="225">
        <f t="shared" si="0"/>
        <v>6461.166804376755</v>
      </c>
      <c r="Z12" s="225">
        <f t="shared" si="4"/>
        <v>5553049.1972387079</v>
      </c>
      <c r="AA12" s="225">
        <f t="shared" si="5"/>
        <v>14167845.817169856</v>
      </c>
    </row>
    <row r="13" spans="1:27" s="49" customFormat="1" x14ac:dyDescent="0.2">
      <c r="A13" s="49" t="s">
        <v>73</v>
      </c>
      <c r="B13" s="52">
        <v>0</v>
      </c>
      <c r="C13" s="52">
        <v>0</v>
      </c>
      <c r="D13" s="52">
        <v>0</v>
      </c>
      <c r="E13" s="52">
        <f>C5</f>
        <v>19.800178521253194</v>
      </c>
      <c r="F13" s="52">
        <f>D7</f>
        <v>16.25</v>
      </c>
      <c r="G13" s="52">
        <v>0</v>
      </c>
      <c r="H13" s="61">
        <v>8</v>
      </c>
      <c r="I13" s="239">
        <v>927</v>
      </c>
      <c r="J13" s="393">
        <v>88</v>
      </c>
      <c r="K13" s="393">
        <v>81</v>
      </c>
      <c r="L13" s="393">
        <v>71</v>
      </c>
      <c r="M13" s="393">
        <v>102</v>
      </c>
      <c r="N13" s="240">
        <v>116</v>
      </c>
      <c r="O13" s="225">
        <f t="shared" si="1"/>
        <v>6324.8705742716611</v>
      </c>
      <c r="P13" s="225">
        <f t="shared" si="2"/>
        <v>5423432.0159887727</v>
      </c>
      <c r="Q13" s="225">
        <f t="shared" si="3"/>
        <v>13843428.493892347</v>
      </c>
      <c r="R13" s="61">
        <v>8</v>
      </c>
      <c r="S13" s="327">
        <f t="shared" si="6"/>
        <v>787.94999999999993</v>
      </c>
      <c r="T13" s="327">
        <f t="shared" si="7"/>
        <v>247.45000000000002</v>
      </c>
      <c r="U13" s="327">
        <f t="shared" si="8"/>
        <v>78</v>
      </c>
      <c r="V13" s="327">
        <f t="shared" si="9"/>
        <v>71</v>
      </c>
      <c r="W13" s="327">
        <f t="shared" si="10"/>
        <v>102</v>
      </c>
      <c r="X13" s="328">
        <f t="shared" si="11"/>
        <v>98.600000000000009</v>
      </c>
      <c r="Y13" s="225">
        <f t="shared" si="0"/>
        <v>6529.3149194293019</v>
      </c>
      <c r="Z13" s="225">
        <f t="shared" si="4"/>
        <v>5617857.7878636755</v>
      </c>
      <c r="AA13" s="225">
        <f t="shared" si="5"/>
        <v>14330054.47880861</v>
      </c>
    </row>
    <row r="14" spans="1:27" s="49" customFormat="1" x14ac:dyDescent="0.2">
      <c r="A14" s="49" t="s">
        <v>230</v>
      </c>
      <c r="B14" s="52">
        <v>0</v>
      </c>
      <c r="C14" s="52">
        <v>0</v>
      </c>
      <c r="D14" s="52">
        <v>0</v>
      </c>
      <c r="E14" s="52">
        <f>C5</f>
        <v>19.800178521253194</v>
      </c>
      <c r="F14" s="52">
        <v>0</v>
      </c>
      <c r="G14" s="52">
        <v>0</v>
      </c>
      <c r="H14" s="61">
        <v>9</v>
      </c>
      <c r="I14" s="239">
        <v>927</v>
      </c>
      <c r="J14" s="393">
        <v>88</v>
      </c>
      <c r="K14" s="393">
        <v>81</v>
      </c>
      <c r="L14" s="393">
        <v>71</v>
      </c>
      <c r="M14" s="393">
        <v>102</v>
      </c>
      <c r="N14" s="240">
        <v>116</v>
      </c>
      <c r="O14" s="225">
        <f t="shared" si="1"/>
        <v>6324.8705742716611</v>
      </c>
      <c r="P14" s="225">
        <f t="shared" si="2"/>
        <v>5423432.0159887727</v>
      </c>
      <c r="Q14" s="225">
        <f t="shared" si="3"/>
        <v>13843428.493892347</v>
      </c>
      <c r="R14" s="61">
        <v>9</v>
      </c>
      <c r="S14" s="327">
        <f t="shared" si="6"/>
        <v>741.59999999999991</v>
      </c>
      <c r="T14" s="327">
        <f t="shared" si="7"/>
        <v>300.60000000000002</v>
      </c>
      <c r="U14" s="327">
        <f t="shared" si="8"/>
        <v>77</v>
      </c>
      <c r="V14" s="327">
        <f t="shared" si="9"/>
        <v>71</v>
      </c>
      <c r="W14" s="327">
        <f t="shared" si="10"/>
        <v>102</v>
      </c>
      <c r="X14" s="328">
        <f t="shared" si="11"/>
        <v>92.800000000000011</v>
      </c>
      <c r="Y14" s="225">
        <f t="shared" si="0"/>
        <v>6597.4630344818506</v>
      </c>
      <c r="Z14" s="225">
        <f t="shared" si="4"/>
        <v>5682666.3784886431</v>
      </c>
      <c r="AA14" s="225">
        <f t="shared" si="5"/>
        <v>14492263.140447361</v>
      </c>
    </row>
    <row r="15" spans="1:27" s="49" customFormat="1" x14ac:dyDescent="0.2">
      <c r="A15" s="55" t="s">
        <v>231</v>
      </c>
      <c r="B15" s="52">
        <v>0</v>
      </c>
      <c r="C15" s="52">
        <v>0</v>
      </c>
      <c r="D15" s="52">
        <v>0</v>
      </c>
      <c r="E15" s="52">
        <f>C5</f>
        <v>19.800178521253194</v>
      </c>
      <c r="F15" s="52">
        <v>0</v>
      </c>
      <c r="G15" s="52">
        <v>0</v>
      </c>
      <c r="H15" s="61">
        <v>10</v>
      </c>
      <c r="I15" s="239">
        <v>927</v>
      </c>
      <c r="J15" s="393">
        <v>88</v>
      </c>
      <c r="K15" s="393">
        <v>81</v>
      </c>
      <c r="L15" s="393">
        <v>71</v>
      </c>
      <c r="M15" s="393">
        <v>102</v>
      </c>
      <c r="N15" s="240">
        <v>116</v>
      </c>
      <c r="O15" s="225">
        <f t="shared" si="1"/>
        <v>6324.8705742716611</v>
      </c>
      <c r="P15" s="225">
        <f t="shared" si="2"/>
        <v>5423432.0159887727</v>
      </c>
      <c r="Q15" s="225">
        <f t="shared" si="3"/>
        <v>13843428.493892347</v>
      </c>
      <c r="R15" s="61">
        <v>10</v>
      </c>
      <c r="S15" s="327">
        <f t="shared" si="6"/>
        <v>695.24999999999989</v>
      </c>
      <c r="T15" s="327">
        <f t="shared" si="7"/>
        <v>353.75</v>
      </c>
      <c r="U15" s="327">
        <f t="shared" si="8"/>
        <v>76</v>
      </c>
      <c r="V15" s="327">
        <f t="shared" si="9"/>
        <v>71</v>
      </c>
      <c r="W15" s="327">
        <f t="shared" si="10"/>
        <v>102</v>
      </c>
      <c r="X15" s="328">
        <f t="shared" si="11"/>
        <v>87.000000000000014</v>
      </c>
      <c r="Y15" s="225">
        <f t="shared" si="0"/>
        <v>6665.6111495343976</v>
      </c>
      <c r="Z15" s="225">
        <f t="shared" si="4"/>
        <v>5747474.9691136116</v>
      </c>
      <c r="AA15" s="225">
        <f t="shared" si="5"/>
        <v>14654471.802086119</v>
      </c>
    </row>
    <row r="16" spans="1:27" s="49" customFormat="1" x14ac:dyDescent="0.2">
      <c r="A16" s="55" t="s">
        <v>232</v>
      </c>
      <c r="B16" s="52">
        <v>0</v>
      </c>
      <c r="C16" s="52">
        <v>0</v>
      </c>
      <c r="D16" s="52">
        <v>0</v>
      </c>
      <c r="E16" s="52">
        <f>C5</f>
        <v>19.800178521253194</v>
      </c>
      <c r="F16" s="52">
        <v>0</v>
      </c>
      <c r="G16" s="52">
        <v>0</v>
      </c>
      <c r="H16" s="61">
        <v>11</v>
      </c>
      <c r="I16" s="239">
        <v>927</v>
      </c>
      <c r="J16" s="393">
        <v>88</v>
      </c>
      <c r="K16" s="393">
        <v>81</v>
      </c>
      <c r="L16" s="393">
        <v>71</v>
      </c>
      <c r="M16" s="393">
        <v>102</v>
      </c>
      <c r="N16" s="240">
        <v>116</v>
      </c>
      <c r="O16" s="225">
        <f t="shared" si="1"/>
        <v>6324.8705742716611</v>
      </c>
      <c r="P16" s="225">
        <f t="shared" si="2"/>
        <v>5423432.0159887727</v>
      </c>
      <c r="Q16" s="225">
        <f t="shared" si="3"/>
        <v>13843428.493892347</v>
      </c>
      <c r="R16" s="61">
        <v>11</v>
      </c>
      <c r="S16" s="327">
        <f t="shared" si="6"/>
        <v>648.89999999999986</v>
      </c>
      <c r="T16" s="327">
        <f t="shared" si="7"/>
        <v>406.9</v>
      </c>
      <c r="U16" s="327">
        <f t="shared" si="8"/>
        <v>75</v>
      </c>
      <c r="V16" s="327">
        <f t="shared" si="9"/>
        <v>71</v>
      </c>
      <c r="W16" s="327">
        <f t="shared" si="10"/>
        <v>102</v>
      </c>
      <c r="X16" s="328">
        <f t="shared" si="11"/>
        <v>81.200000000000017</v>
      </c>
      <c r="Y16" s="225">
        <f t="shared" si="0"/>
        <v>6733.7592645869445</v>
      </c>
      <c r="Z16" s="225">
        <f t="shared" si="4"/>
        <v>5812283.5597385783</v>
      </c>
      <c r="AA16" s="225">
        <f t="shared" si="5"/>
        <v>14816680.46372487</v>
      </c>
    </row>
    <row r="17" spans="1:32" s="49" customFormat="1" x14ac:dyDescent="0.2">
      <c r="A17" s="56" t="s">
        <v>233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61">
        <v>12</v>
      </c>
      <c r="I17" s="239">
        <v>927</v>
      </c>
      <c r="J17" s="393">
        <v>88</v>
      </c>
      <c r="K17" s="393">
        <v>81</v>
      </c>
      <c r="L17" s="393">
        <v>71</v>
      </c>
      <c r="M17" s="393">
        <v>102</v>
      </c>
      <c r="N17" s="240">
        <v>116</v>
      </c>
      <c r="O17" s="225">
        <f t="shared" si="1"/>
        <v>6324.8705742716611</v>
      </c>
      <c r="P17" s="225">
        <f t="shared" si="2"/>
        <v>5423432.0159887727</v>
      </c>
      <c r="Q17" s="225">
        <f t="shared" si="3"/>
        <v>13843428.493892347</v>
      </c>
      <c r="R17" s="61">
        <v>12</v>
      </c>
      <c r="S17" s="327">
        <f t="shared" si="6"/>
        <v>602.54999999999984</v>
      </c>
      <c r="T17" s="327">
        <f t="shared" si="7"/>
        <v>460.04999999999995</v>
      </c>
      <c r="U17" s="327">
        <f t="shared" si="8"/>
        <v>74</v>
      </c>
      <c r="V17" s="327">
        <f t="shared" si="9"/>
        <v>71</v>
      </c>
      <c r="W17" s="327">
        <f t="shared" si="10"/>
        <v>102</v>
      </c>
      <c r="X17" s="328">
        <f t="shared" si="11"/>
        <v>75.40000000000002</v>
      </c>
      <c r="Y17" s="225">
        <f t="shared" si="0"/>
        <v>6801.9073796394914</v>
      </c>
      <c r="Z17" s="225">
        <f t="shared" si="4"/>
        <v>5877092.1503635459</v>
      </c>
      <c r="AA17" s="225">
        <f t="shared" si="5"/>
        <v>14978889.125363624</v>
      </c>
    </row>
    <row r="18" spans="1:32" x14ac:dyDescent="0.2">
      <c r="B18" s="62"/>
      <c r="H18" s="61">
        <v>13</v>
      </c>
      <c r="I18" s="239">
        <v>927</v>
      </c>
      <c r="J18" s="393">
        <v>88</v>
      </c>
      <c r="K18" s="393">
        <v>81</v>
      </c>
      <c r="L18" s="393">
        <v>71</v>
      </c>
      <c r="M18" s="393">
        <v>102</v>
      </c>
      <c r="N18" s="240">
        <v>116</v>
      </c>
      <c r="O18" s="225">
        <f t="shared" si="1"/>
        <v>6324.8705742716611</v>
      </c>
      <c r="P18" s="225">
        <f t="shared" si="2"/>
        <v>5423432.0159887727</v>
      </c>
      <c r="Q18" s="225">
        <f t="shared" si="3"/>
        <v>13843428.493892347</v>
      </c>
      <c r="R18" s="61">
        <v>13</v>
      </c>
      <c r="S18" s="327">
        <f t="shared" si="6"/>
        <v>556.19999999999982</v>
      </c>
      <c r="T18" s="327">
        <f t="shared" si="7"/>
        <v>513.19999999999993</v>
      </c>
      <c r="U18" s="327">
        <f t="shared" si="8"/>
        <v>73</v>
      </c>
      <c r="V18" s="327">
        <f t="shared" si="9"/>
        <v>71</v>
      </c>
      <c r="W18" s="327">
        <f t="shared" si="10"/>
        <v>102</v>
      </c>
      <c r="X18" s="328">
        <f t="shared" si="11"/>
        <v>69.600000000000023</v>
      </c>
      <c r="Y18" s="225">
        <f t="shared" si="0"/>
        <v>6870.0554946920402</v>
      </c>
      <c r="Z18" s="225">
        <f t="shared" si="4"/>
        <v>5941900.7409885144</v>
      </c>
      <c r="AA18" s="225">
        <f t="shared" si="5"/>
        <v>15141097.787002377</v>
      </c>
    </row>
    <row r="19" spans="1:32" s="42" customFormat="1" ht="51" x14ac:dyDescent="0.2">
      <c r="A19" s="63" t="s">
        <v>4</v>
      </c>
      <c r="B19" s="64" t="s">
        <v>61</v>
      </c>
      <c r="C19" s="64" t="s">
        <v>62</v>
      </c>
      <c r="D19" s="64" t="s">
        <v>63</v>
      </c>
      <c r="E19" s="64" t="s">
        <v>64</v>
      </c>
      <c r="F19" s="64" t="s">
        <v>65</v>
      </c>
      <c r="G19" s="64" t="s">
        <v>66</v>
      </c>
      <c r="H19" s="61">
        <v>14</v>
      </c>
      <c r="I19" s="239">
        <v>927</v>
      </c>
      <c r="J19" s="393">
        <v>88</v>
      </c>
      <c r="K19" s="393">
        <v>81</v>
      </c>
      <c r="L19" s="393">
        <v>71</v>
      </c>
      <c r="M19" s="393">
        <v>102</v>
      </c>
      <c r="N19" s="240">
        <v>116</v>
      </c>
      <c r="O19" s="225">
        <f t="shared" si="1"/>
        <v>6324.8705742716611</v>
      </c>
      <c r="P19" s="225">
        <f t="shared" si="2"/>
        <v>5423432.0159887727</v>
      </c>
      <c r="Q19" s="225">
        <f t="shared" si="3"/>
        <v>13843428.493892347</v>
      </c>
      <c r="R19" s="61">
        <v>14</v>
      </c>
      <c r="S19" s="327">
        <f t="shared" si="6"/>
        <v>509.8499999999998</v>
      </c>
      <c r="T19" s="327">
        <f t="shared" si="7"/>
        <v>566.34999999999991</v>
      </c>
      <c r="U19" s="327">
        <f t="shared" si="8"/>
        <v>72</v>
      </c>
      <c r="V19" s="327">
        <f t="shared" si="9"/>
        <v>71</v>
      </c>
      <c r="W19" s="327">
        <f t="shared" si="10"/>
        <v>102</v>
      </c>
      <c r="X19" s="328">
        <f t="shared" si="11"/>
        <v>63.800000000000026</v>
      </c>
      <c r="Y19" s="225">
        <f t="shared" si="0"/>
        <v>6938.2036097445871</v>
      </c>
      <c r="Z19" s="225">
        <f t="shared" si="4"/>
        <v>6006709.331613482</v>
      </c>
      <c r="AA19" s="225">
        <f t="shared" si="5"/>
        <v>15303306.448641131</v>
      </c>
    </row>
    <row r="20" spans="1:32" x14ac:dyDescent="0.2">
      <c r="A20" s="47" t="s">
        <v>229</v>
      </c>
      <c r="B20" s="339">
        <f>E2*B49</f>
        <v>4944.7400931340098</v>
      </c>
      <c r="C20" s="339">
        <f>E3*B49</f>
        <v>8044.9406214782111</v>
      </c>
      <c r="D20" s="334">
        <f>E4*B49</f>
        <v>11794.822396588981</v>
      </c>
      <c r="E20" s="339">
        <f>E5*B49</f>
        <v>35.003498725108152</v>
      </c>
      <c r="F20" s="334">
        <f>E7*B49</f>
        <v>36.800000000000004</v>
      </c>
      <c r="G20" s="334">
        <f>E6*B49</f>
        <v>638.97165754352773</v>
      </c>
      <c r="H20" s="61">
        <v>15</v>
      </c>
      <c r="I20" s="239">
        <v>927</v>
      </c>
      <c r="J20" s="393">
        <v>88</v>
      </c>
      <c r="K20" s="393">
        <v>81</v>
      </c>
      <c r="L20" s="393">
        <v>71</v>
      </c>
      <c r="M20" s="393">
        <v>102</v>
      </c>
      <c r="N20" s="240">
        <v>116</v>
      </c>
      <c r="O20" s="225">
        <f t="shared" si="1"/>
        <v>6324.8705742716611</v>
      </c>
      <c r="P20" s="225">
        <f t="shared" si="2"/>
        <v>5423432.0159887727</v>
      </c>
      <c r="Q20" s="225">
        <f t="shared" si="3"/>
        <v>13843428.493892347</v>
      </c>
      <c r="R20" s="61">
        <v>15</v>
      </c>
      <c r="S20" s="327">
        <f t="shared" si="6"/>
        <v>463.49999999999977</v>
      </c>
      <c r="T20" s="327">
        <f t="shared" si="7"/>
        <v>619.49999999999989</v>
      </c>
      <c r="U20" s="327">
        <f t="shared" si="8"/>
        <v>71</v>
      </c>
      <c r="V20" s="327">
        <f t="shared" si="9"/>
        <v>71</v>
      </c>
      <c r="W20" s="327">
        <f t="shared" si="10"/>
        <v>102</v>
      </c>
      <c r="X20" s="328">
        <f t="shared" si="11"/>
        <v>58.000000000000028</v>
      </c>
      <c r="Y20" s="225">
        <f t="shared" si="0"/>
        <v>7006.3517247971358</v>
      </c>
      <c r="Z20" s="225">
        <f t="shared" si="4"/>
        <v>6071517.9222384496</v>
      </c>
      <c r="AA20" s="225">
        <f t="shared" si="5"/>
        <v>15465515.110279884</v>
      </c>
    </row>
    <row r="21" spans="1:32" x14ac:dyDescent="0.2">
      <c r="A21" s="49" t="s">
        <v>73</v>
      </c>
      <c r="B21" s="340">
        <f>E2</f>
        <v>6180.9251164175121</v>
      </c>
      <c r="C21" s="336">
        <f>E3</f>
        <v>10056.175776847764</v>
      </c>
      <c r="D21" s="336">
        <f>E4</f>
        <v>14743.527995736225</v>
      </c>
      <c r="E21" s="336">
        <f>E5</f>
        <v>43.754373406385184</v>
      </c>
      <c r="F21" s="336">
        <f>E7</f>
        <v>46</v>
      </c>
      <c r="G21" s="336">
        <f>E6</f>
        <v>798.71457192940966</v>
      </c>
      <c r="H21" s="61">
        <v>16</v>
      </c>
      <c r="I21" s="239">
        <v>927</v>
      </c>
      <c r="J21" s="393">
        <v>88</v>
      </c>
      <c r="K21" s="393">
        <v>81</v>
      </c>
      <c r="L21" s="393">
        <v>71</v>
      </c>
      <c r="M21" s="393">
        <v>102</v>
      </c>
      <c r="N21" s="240">
        <v>116</v>
      </c>
      <c r="O21" s="225">
        <f t="shared" si="1"/>
        <v>6324.8705742716611</v>
      </c>
      <c r="P21" s="225">
        <f t="shared" si="2"/>
        <v>5423432.0159887727</v>
      </c>
      <c r="Q21" s="225">
        <f t="shared" si="3"/>
        <v>13843428.493892347</v>
      </c>
      <c r="R21" s="61">
        <v>16</v>
      </c>
      <c r="S21" s="327">
        <f t="shared" si="6"/>
        <v>417.14999999999975</v>
      </c>
      <c r="T21" s="327">
        <f t="shared" si="7"/>
        <v>672.64999999999986</v>
      </c>
      <c r="U21" s="327">
        <f t="shared" si="8"/>
        <v>70</v>
      </c>
      <c r="V21" s="327">
        <f t="shared" si="9"/>
        <v>71</v>
      </c>
      <c r="W21" s="327">
        <f t="shared" si="10"/>
        <v>102</v>
      </c>
      <c r="X21" s="328">
        <f t="shared" si="11"/>
        <v>52.200000000000031</v>
      </c>
      <c r="Y21" s="225">
        <f t="shared" si="0"/>
        <v>7074.4998398496809</v>
      </c>
      <c r="Z21" s="225">
        <f t="shared" si="4"/>
        <v>6136326.5128634172</v>
      </c>
      <c r="AA21" s="225">
        <f t="shared" si="5"/>
        <v>15627723.771918638</v>
      </c>
    </row>
    <row r="22" spans="1:32" x14ac:dyDescent="0.2">
      <c r="A22" s="49" t="s">
        <v>230</v>
      </c>
      <c r="B22" s="340">
        <v>0</v>
      </c>
      <c r="C22" s="340">
        <v>0</v>
      </c>
      <c r="D22" s="340">
        <f>E4*B48</f>
        <v>7371.7639978681127</v>
      </c>
      <c r="E22" s="336">
        <f>E5</f>
        <v>43.754373406385184</v>
      </c>
      <c r="F22" s="340">
        <v>0</v>
      </c>
      <c r="G22" s="336">
        <f>E6</f>
        <v>798.71457192940966</v>
      </c>
      <c r="H22" s="61">
        <v>17</v>
      </c>
      <c r="I22" s="239">
        <v>927</v>
      </c>
      <c r="J22" s="393">
        <v>88</v>
      </c>
      <c r="K22" s="393">
        <v>81</v>
      </c>
      <c r="L22" s="393">
        <v>71</v>
      </c>
      <c r="M22" s="393">
        <v>102</v>
      </c>
      <c r="N22" s="240">
        <v>116</v>
      </c>
      <c r="O22" s="225">
        <f t="shared" si="1"/>
        <v>6324.8705742716611</v>
      </c>
      <c r="P22" s="225">
        <f t="shared" si="2"/>
        <v>5423432.0159887727</v>
      </c>
      <c r="Q22" s="225">
        <f t="shared" si="3"/>
        <v>13843428.493892347</v>
      </c>
      <c r="R22" s="61">
        <v>17</v>
      </c>
      <c r="S22" s="327">
        <f t="shared" si="6"/>
        <v>370.79999999999973</v>
      </c>
      <c r="T22" s="327">
        <f t="shared" si="7"/>
        <v>725.79999999999984</v>
      </c>
      <c r="U22" s="327">
        <f t="shared" si="8"/>
        <v>69</v>
      </c>
      <c r="V22" s="327">
        <f t="shared" si="9"/>
        <v>71</v>
      </c>
      <c r="W22" s="327">
        <f t="shared" si="10"/>
        <v>102</v>
      </c>
      <c r="X22" s="328">
        <f t="shared" si="11"/>
        <v>46.400000000000034</v>
      </c>
      <c r="Y22" s="225">
        <f t="shared" si="0"/>
        <v>7142.6479549022297</v>
      </c>
      <c r="Z22" s="225">
        <f t="shared" si="4"/>
        <v>6201135.1034883838</v>
      </c>
      <c r="AA22" s="225">
        <f t="shared" si="5"/>
        <v>15789932.433557389</v>
      </c>
    </row>
    <row r="23" spans="1:32" x14ac:dyDescent="0.2">
      <c r="A23" s="55" t="s">
        <v>231</v>
      </c>
      <c r="B23" s="340">
        <f>E2</f>
        <v>6180.9251164175121</v>
      </c>
      <c r="C23" s="340">
        <v>0</v>
      </c>
      <c r="D23" s="340">
        <f>E4</f>
        <v>14743.527995736225</v>
      </c>
      <c r="E23" s="336">
        <f>E5</f>
        <v>43.754373406385184</v>
      </c>
      <c r="F23" s="340">
        <v>0</v>
      </c>
      <c r="G23" s="336">
        <f>E6</f>
        <v>798.71457192940966</v>
      </c>
      <c r="H23" s="61">
        <v>18</v>
      </c>
      <c r="I23" s="239">
        <v>927</v>
      </c>
      <c r="J23" s="393">
        <v>88</v>
      </c>
      <c r="K23" s="393">
        <v>81</v>
      </c>
      <c r="L23" s="393">
        <v>71</v>
      </c>
      <c r="M23" s="393">
        <v>102</v>
      </c>
      <c r="N23" s="240">
        <v>116</v>
      </c>
      <c r="O23" s="225">
        <f t="shared" si="1"/>
        <v>6324.8705742716611</v>
      </c>
      <c r="P23" s="225">
        <f t="shared" si="2"/>
        <v>5423432.0159887727</v>
      </c>
      <c r="Q23" s="225">
        <f t="shared" si="3"/>
        <v>13843428.493892347</v>
      </c>
      <c r="R23" s="61">
        <v>18</v>
      </c>
      <c r="S23" s="327">
        <f t="shared" si="6"/>
        <v>324.4499999999997</v>
      </c>
      <c r="T23" s="327">
        <f t="shared" si="7"/>
        <v>778.94999999999982</v>
      </c>
      <c r="U23" s="327">
        <f t="shared" si="8"/>
        <v>68</v>
      </c>
      <c r="V23" s="327">
        <f t="shared" si="9"/>
        <v>71</v>
      </c>
      <c r="W23" s="327">
        <f t="shared" si="10"/>
        <v>102</v>
      </c>
      <c r="X23" s="328">
        <f t="shared" si="11"/>
        <v>40.600000000000037</v>
      </c>
      <c r="Y23" s="225">
        <f t="shared" si="0"/>
        <v>7210.7960699547766</v>
      </c>
      <c r="Z23" s="225">
        <f t="shared" si="4"/>
        <v>6265943.6941133523</v>
      </c>
      <c r="AA23" s="225">
        <f t="shared" si="5"/>
        <v>15952141.095196145</v>
      </c>
      <c r="AF23" s="49"/>
    </row>
    <row r="24" spans="1:32" x14ac:dyDescent="0.2">
      <c r="A24" s="55" t="s">
        <v>232</v>
      </c>
      <c r="B24" s="340">
        <v>0</v>
      </c>
      <c r="C24" s="340">
        <v>0</v>
      </c>
      <c r="D24" s="340">
        <f>E4</f>
        <v>14743.527995736225</v>
      </c>
      <c r="E24" s="336">
        <f>E5</f>
        <v>43.754373406385184</v>
      </c>
      <c r="F24" s="340">
        <v>0</v>
      </c>
      <c r="G24" s="340">
        <f>E6</f>
        <v>798.71457192940966</v>
      </c>
      <c r="H24" s="61">
        <v>19</v>
      </c>
      <c r="I24" s="239">
        <v>927</v>
      </c>
      <c r="J24" s="393">
        <v>88</v>
      </c>
      <c r="K24" s="393">
        <v>81</v>
      </c>
      <c r="L24" s="393">
        <v>71</v>
      </c>
      <c r="M24" s="393">
        <v>102</v>
      </c>
      <c r="N24" s="240">
        <v>116</v>
      </c>
      <c r="O24" s="225">
        <f t="shared" si="1"/>
        <v>6324.8705742716611</v>
      </c>
      <c r="P24" s="225">
        <f t="shared" si="2"/>
        <v>5423432.0159887727</v>
      </c>
      <c r="Q24" s="225">
        <f t="shared" si="3"/>
        <v>13843428.493892347</v>
      </c>
      <c r="R24" s="61">
        <v>19</v>
      </c>
      <c r="S24" s="327">
        <f t="shared" si="6"/>
        <v>278.09999999999968</v>
      </c>
      <c r="T24" s="327">
        <f t="shared" si="7"/>
        <v>832.0999999999998</v>
      </c>
      <c r="U24" s="327">
        <f t="shared" si="8"/>
        <v>67</v>
      </c>
      <c r="V24" s="327">
        <f t="shared" si="9"/>
        <v>71</v>
      </c>
      <c r="W24" s="327">
        <f t="shared" si="10"/>
        <v>102</v>
      </c>
      <c r="X24" s="328">
        <f t="shared" si="11"/>
        <v>34.80000000000004</v>
      </c>
      <c r="Y24" s="225">
        <f t="shared" si="0"/>
        <v>7278.9441850073235</v>
      </c>
      <c r="Z24" s="225">
        <f t="shared" si="4"/>
        <v>6330752.284738319</v>
      </c>
      <c r="AA24" s="225">
        <f t="shared" si="5"/>
        <v>16114349.756834898</v>
      </c>
      <c r="AF24" s="49"/>
    </row>
    <row r="25" spans="1:32" x14ac:dyDescent="0.2">
      <c r="A25" s="56" t="s">
        <v>233</v>
      </c>
      <c r="B25" s="341">
        <v>0</v>
      </c>
      <c r="C25" s="342">
        <f>E3*B47</f>
        <v>8044.9406214782111</v>
      </c>
      <c r="D25" s="342">
        <f>E4*B47</f>
        <v>11794.822396588981</v>
      </c>
      <c r="E25" s="341">
        <v>0</v>
      </c>
      <c r="F25" s="341">
        <v>0</v>
      </c>
      <c r="G25" s="341">
        <v>0</v>
      </c>
      <c r="H25" s="61">
        <v>20</v>
      </c>
      <c r="I25" s="239">
        <v>927</v>
      </c>
      <c r="J25" s="393">
        <v>88</v>
      </c>
      <c r="K25" s="393">
        <v>81</v>
      </c>
      <c r="L25" s="393">
        <v>71</v>
      </c>
      <c r="M25" s="393">
        <v>102</v>
      </c>
      <c r="N25" s="240">
        <v>116</v>
      </c>
      <c r="O25" s="225">
        <f t="shared" si="1"/>
        <v>6324.8705742716611</v>
      </c>
      <c r="P25" s="225">
        <f t="shared" si="2"/>
        <v>5423432.0159887727</v>
      </c>
      <c r="Q25" s="225">
        <f t="shared" si="3"/>
        <v>13843428.493892347</v>
      </c>
      <c r="R25" s="61">
        <v>20</v>
      </c>
      <c r="S25" s="327">
        <f t="shared" si="6"/>
        <v>231.74999999999969</v>
      </c>
      <c r="T25" s="327">
        <f t="shared" si="7"/>
        <v>885.24999999999977</v>
      </c>
      <c r="U25" s="327">
        <f t="shared" si="8"/>
        <v>66</v>
      </c>
      <c r="V25" s="327">
        <f t="shared" si="9"/>
        <v>71</v>
      </c>
      <c r="W25" s="327">
        <f t="shared" si="10"/>
        <v>102</v>
      </c>
      <c r="X25" s="328">
        <f t="shared" si="11"/>
        <v>29.000000000000039</v>
      </c>
      <c r="Y25" s="225">
        <f t="shared" si="0"/>
        <v>7347.0923000598705</v>
      </c>
      <c r="Z25" s="225">
        <f t="shared" si="4"/>
        <v>6395560.8753632866</v>
      </c>
      <c r="AA25" s="225">
        <f t="shared" si="5"/>
        <v>16276558.418473652</v>
      </c>
      <c r="AF25" s="49"/>
    </row>
    <row r="26" spans="1:32" x14ac:dyDescent="0.2">
      <c r="B26" s="62"/>
      <c r="H26" s="61">
        <v>21</v>
      </c>
      <c r="I26" s="239">
        <v>927</v>
      </c>
      <c r="J26" s="393">
        <v>88</v>
      </c>
      <c r="K26" s="393">
        <v>81</v>
      </c>
      <c r="L26" s="393">
        <v>71</v>
      </c>
      <c r="M26" s="393">
        <v>102</v>
      </c>
      <c r="N26" s="240">
        <v>116</v>
      </c>
      <c r="O26" s="225">
        <f t="shared" ref="O26:O55" si="12">I26*AVERAGE($B$12:$G$12)+J26*AVERAGE($B$13:$G$13)+K26*AVERAGE($B$14:$G$14)+L26*AVERAGE($B$15:$G$15)+M26*AVERAGE($B$16:$G$16)+N26*AVERAGE($B$17:$G$17)</f>
        <v>6324.8705742716611</v>
      </c>
      <c r="P26" s="225">
        <f t="shared" ref="P26:P55" si="13">I26*AVERAGE($B$20:$G$20)+J26*AVERAGE($B$21:$G$21)+K26*AVERAGE($B$22:$G$22)+L26*AVERAGE($B$23:$G$23)+M26*AVERAGE($B$24:$G$24)+N26*AVERAGE($B$25:$G$25)</f>
        <v>5423432.0159887727</v>
      </c>
      <c r="Q26" s="225">
        <f t="shared" ref="Q26:Q55" si="14">I26*AVERAGE($B$28:$G$28)+J26*AVERAGE($B$29:$G$29)+K26*AVERAGE($B$30:$G$30)+L26*AVERAGE($B$31:$G$31)+M26*AVERAGE($B$32:$G$32)+N26*AVERAGE($B$33:$G$33)</f>
        <v>13843428.493892347</v>
      </c>
      <c r="R26" s="61">
        <v>21</v>
      </c>
      <c r="S26" s="327">
        <f t="shared" si="6"/>
        <v>185.39999999999969</v>
      </c>
      <c r="T26" s="327">
        <f t="shared" si="7"/>
        <v>938.39999999999975</v>
      </c>
      <c r="U26" s="327">
        <f t="shared" si="8"/>
        <v>65</v>
      </c>
      <c r="V26" s="327">
        <f t="shared" si="9"/>
        <v>71</v>
      </c>
      <c r="W26" s="327">
        <f t="shared" si="10"/>
        <v>102</v>
      </c>
      <c r="X26" s="328">
        <f t="shared" si="11"/>
        <v>23.200000000000038</v>
      </c>
      <c r="Y26" s="225">
        <f t="shared" ref="Y26:Y55" si="15">S26*AVERAGE($B$12:$G$12)+T26*AVERAGE($B$13:$G$13)+U26*AVERAGE($B$14:$G$14)+V26*AVERAGE($B$15:$G$15)+W26*AVERAGE($B$16:$G$16)+X26*AVERAGE($B$17:$G$17)</f>
        <v>7415.2404151124192</v>
      </c>
      <c r="Z26" s="225">
        <f t="shared" ref="Z26:Z55" si="16">S26*AVERAGE($B$20:$G$20)+T26*AVERAGE($B$21:$G$21)+U26*AVERAGE($B$22:$G$22)+V26*AVERAGE($B$23:$G$23)+W26*AVERAGE($B$24:$G$24)+X26*AVERAGE($B$25:$G$25)</f>
        <v>6460369.4659882551</v>
      </c>
      <c r="AA26" s="225">
        <f t="shared" ref="AA26:AA55" si="17">S26*AVERAGE($B$28:$G$28)+T26*AVERAGE($B$29:$G$29)+U26*AVERAGE($B$30:$G$30)+V26*AVERAGE($B$31:$G$31)+W26*AVERAGE($B$32:$G$32)+X26*AVERAGE($B$33:$G$33)</f>
        <v>16438767.080112405</v>
      </c>
    </row>
    <row r="27" spans="1:32" s="42" customFormat="1" ht="51" x14ac:dyDescent="0.2">
      <c r="A27" s="42" t="s">
        <v>5</v>
      </c>
      <c r="B27" s="43" t="s">
        <v>61</v>
      </c>
      <c r="C27" s="43" t="s">
        <v>62</v>
      </c>
      <c r="D27" s="43" t="s">
        <v>63</v>
      </c>
      <c r="E27" s="43" t="s">
        <v>64</v>
      </c>
      <c r="F27" s="43" t="s">
        <v>65</v>
      </c>
      <c r="G27" s="43" t="s">
        <v>66</v>
      </c>
      <c r="H27" s="61">
        <v>22</v>
      </c>
      <c r="I27" s="239">
        <v>927</v>
      </c>
      <c r="J27" s="393">
        <v>88</v>
      </c>
      <c r="K27" s="393">
        <v>81</v>
      </c>
      <c r="L27" s="393">
        <v>71</v>
      </c>
      <c r="M27" s="393">
        <v>102</v>
      </c>
      <c r="N27" s="240">
        <v>116</v>
      </c>
      <c r="O27" s="225">
        <f t="shared" si="12"/>
        <v>6324.8705742716611</v>
      </c>
      <c r="P27" s="225">
        <f t="shared" si="13"/>
        <v>5423432.0159887727</v>
      </c>
      <c r="Q27" s="225">
        <f t="shared" si="14"/>
        <v>13843428.493892347</v>
      </c>
      <c r="R27" s="61">
        <v>22</v>
      </c>
      <c r="S27" s="327">
        <f t="shared" si="6"/>
        <v>139.0499999999997</v>
      </c>
      <c r="T27" s="327">
        <f t="shared" si="7"/>
        <v>991.54999999999973</v>
      </c>
      <c r="U27" s="327">
        <f t="shared" si="8"/>
        <v>64</v>
      </c>
      <c r="V27" s="327">
        <f t="shared" si="9"/>
        <v>71</v>
      </c>
      <c r="W27" s="327">
        <f t="shared" si="10"/>
        <v>102</v>
      </c>
      <c r="X27" s="328">
        <f t="shared" si="11"/>
        <v>17.400000000000038</v>
      </c>
      <c r="Y27" s="225">
        <f t="shared" si="15"/>
        <v>7483.3885301649661</v>
      </c>
      <c r="Z27" s="225">
        <f t="shared" si="16"/>
        <v>6525178.0566132227</v>
      </c>
      <c r="AA27" s="225">
        <f t="shared" si="17"/>
        <v>16600975.74175116</v>
      </c>
    </row>
    <row r="28" spans="1:32" x14ac:dyDescent="0.2">
      <c r="A28" s="47" t="s">
        <v>229</v>
      </c>
      <c r="B28" s="334">
        <f>F2*B49</f>
        <v>10350.440024514894</v>
      </c>
      <c r="C28" s="335">
        <f>F3*B49</f>
        <v>20414.229821417401</v>
      </c>
      <c r="D28" s="335">
        <f>F4*B49</f>
        <v>31711.824269031957</v>
      </c>
      <c r="E28" s="335">
        <f>F5*B49</f>
        <v>51.606296165242362</v>
      </c>
      <c r="F28" s="335">
        <f>F7*B49</f>
        <v>150.4</v>
      </c>
      <c r="G28" s="335">
        <f>F6*B49</f>
        <v>1933.0115241894518</v>
      </c>
      <c r="H28" s="61">
        <v>23</v>
      </c>
      <c r="I28" s="239">
        <v>927</v>
      </c>
      <c r="J28" s="393">
        <v>88</v>
      </c>
      <c r="K28" s="393">
        <v>81</v>
      </c>
      <c r="L28" s="393">
        <v>71</v>
      </c>
      <c r="M28" s="393">
        <v>102</v>
      </c>
      <c r="N28" s="240">
        <v>116</v>
      </c>
      <c r="O28" s="225">
        <f t="shared" si="12"/>
        <v>6324.8705742716611</v>
      </c>
      <c r="P28" s="225">
        <f t="shared" si="13"/>
        <v>5423432.0159887727</v>
      </c>
      <c r="Q28" s="225">
        <f t="shared" si="14"/>
        <v>13843428.493892347</v>
      </c>
      <c r="R28" s="61">
        <v>23</v>
      </c>
      <c r="S28" s="327">
        <f t="shared" si="6"/>
        <v>92.699999999999704</v>
      </c>
      <c r="T28" s="327">
        <f t="shared" si="7"/>
        <v>1044.6999999999998</v>
      </c>
      <c r="U28" s="327">
        <f t="shared" si="8"/>
        <v>63</v>
      </c>
      <c r="V28" s="327">
        <f t="shared" si="9"/>
        <v>71</v>
      </c>
      <c r="W28" s="327">
        <f t="shared" si="10"/>
        <v>102</v>
      </c>
      <c r="X28" s="328">
        <f t="shared" si="11"/>
        <v>11.600000000000037</v>
      </c>
      <c r="Y28" s="225">
        <f t="shared" si="15"/>
        <v>7551.5366452175149</v>
      </c>
      <c r="Z28" s="225">
        <f t="shared" si="16"/>
        <v>6589986.6472381903</v>
      </c>
      <c r="AA28" s="225">
        <f t="shared" si="17"/>
        <v>16763184.403389914</v>
      </c>
    </row>
    <row r="29" spans="1:32" x14ac:dyDescent="0.2">
      <c r="A29" s="49" t="s">
        <v>73</v>
      </c>
      <c r="B29" s="336">
        <f>F2</f>
        <v>12938.050030643617</v>
      </c>
      <c r="C29" s="337">
        <f>F3</f>
        <v>25517.787276771749</v>
      </c>
      <c r="D29" s="337">
        <f>F4</f>
        <v>39639.780336289943</v>
      </c>
      <c r="E29" s="337">
        <f>F5</f>
        <v>64.507870206552951</v>
      </c>
      <c r="F29" s="337">
        <f>F7</f>
        <v>188</v>
      </c>
      <c r="G29" s="337">
        <f>F6</f>
        <v>2416.2644052368146</v>
      </c>
      <c r="H29" s="61">
        <v>24</v>
      </c>
      <c r="I29" s="239">
        <v>927</v>
      </c>
      <c r="J29" s="393">
        <v>88</v>
      </c>
      <c r="K29" s="393">
        <v>81</v>
      </c>
      <c r="L29" s="393">
        <v>71</v>
      </c>
      <c r="M29" s="393">
        <v>102</v>
      </c>
      <c r="N29" s="240">
        <v>116</v>
      </c>
      <c r="O29" s="225">
        <f t="shared" si="12"/>
        <v>6324.8705742716611</v>
      </c>
      <c r="P29" s="225">
        <f t="shared" si="13"/>
        <v>5423432.0159887727</v>
      </c>
      <c r="Q29" s="225">
        <f t="shared" si="14"/>
        <v>13843428.493892347</v>
      </c>
      <c r="R29" s="61">
        <v>24</v>
      </c>
      <c r="S29" s="327">
        <f t="shared" si="6"/>
        <v>46.349999999999703</v>
      </c>
      <c r="T29" s="327">
        <f t="shared" si="7"/>
        <v>1097.8499999999999</v>
      </c>
      <c r="U29" s="327">
        <f t="shared" si="8"/>
        <v>62</v>
      </c>
      <c r="V29" s="327">
        <f t="shared" si="9"/>
        <v>71</v>
      </c>
      <c r="W29" s="327">
        <f t="shared" si="10"/>
        <v>102</v>
      </c>
      <c r="X29" s="328">
        <f t="shared" si="11"/>
        <v>5.8000000000000371</v>
      </c>
      <c r="Y29" s="225">
        <f t="shared" si="15"/>
        <v>7619.6847602700636</v>
      </c>
      <c r="Z29" s="225">
        <f t="shared" si="16"/>
        <v>6654795.2378631597</v>
      </c>
      <c r="AA29" s="225">
        <f t="shared" si="17"/>
        <v>16925393.065028671</v>
      </c>
    </row>
    <row r="30" spans="1:32" x14ac:dyDescent="0.2">
      <c r="A30" s="49" t="s">
        <v>230</v>
      </c>
      <c r="B30" s="337">
        <v>0</v>
      </c>
      <c r="C30" s="337">
        <v>0</v>
      </c>
      <c r="D30" s="337">
        <f>F4*B48</f>
        <v>19819.890168144972</v>
      </c>
      <c r="E30" s="337">
        <f>F5</f>
        <v>64.507870206552951</v>
      </c>
      <c r="F30" s="337">
        <v>0</v>
      </c>
      <c r="G30" s="337">
        <f>F6</f>
        <v>2416.2644052368146</v>
      </c>
      <c r="H30" s="61">
        <v>25</v>
      </c>
      <c r="I30" s="239">
        <v>927</v>
      </c>
      <c r="J30" s="393">
        <v>88</v>
      </c>
      <c r="K30" s="393">
        <v>81</v>
      </c>
      <c r="L30" s="393">
        <v>71</v>
      </c>
      <c r="M30" s="393">
        <v>102</v>
      </c>
      <c r="N30" s="240">
        <v>116</v>
      </c>
      <c r="O30" s="225">
        <f t="shared" si="12"/>
        <v>6324.8705742716611</v>
      </c>
      <c r="P30" s="225">
        <f t="shared" si="13"/>
        <v>5423432.0159887727</v>
      </c>
      <c r="Q30" s="225">
        <f t="shared" si="14"/>
        <v>13843428.493892347</v>
      </c>
      <c r="R30" s="61">
        <v>25</v>
      </c>
      <c r="S30" s="327">
        <f>$C$37</f>
        <v>0</v>
      </c>
      <c r="T30" s="327">
        <f>$C$38</f>
        <v>1151</v>
      </c>
      <c r="U30" s="327">
        <f>$C$39</f>
        <v>61</v>
      </c>
      <c r="V30" s="327">
        <f>$C$40</f>
        <v>71</v>
      </c>
      <c r="W30" s="327">
        <f>$C$41</f>
        <v>102</v>
      </c>
      <c r="X30" s="327">
        <f>$C$42</f>
        <v>0</v>
      </c>
      <c r="Y30" s="225">
        <f t="shared" si="15"/>
        <v>7687.8328753226124</v>
      </c>
      <c r="Z30" s="225">
        <f t="shared" si="16"/>
        <v>6719603.8284881292</v>
      </c>
      <c r="AA30" s="225">
        <f t="shared" si="17"/>
        <v>17087601.726667427</v>
      </c>
    </row>
    <row r="31" spans="1:32" x14ac:dyDescent="0.2">
      <c r="A31" s="55" t="s">
        <v>231</v>
      </c>
      <c r="B31" s="336">
        <f>F2</f>
        <v>12938.050030643617</v>
      </c>
      <c r="C31" s="337">
        <v>0</v>
      </c>
      <c r="D31" s="337">
        <f>F4</f>
        <v>39639.780336289943</v>
      </c>
      <c r="E31" s="337">
        <f>F5</f>
        <v>64.507870206552951</v>
      </c>
      <c r="F31" s="337">
        <v>0</v>
      </c>
      <c r="G31" s="337">
        <f>F6</f>
        <v>2416.2644052368146</v>
      </c>
      <c r="H31" s="61">
        <v>26</v>
      </c>
      <c r="I31" s="239">
        <v>927</v>
      </c>
      <c r="J31" s="393">
        <v>88</v>
      </c>
      <c r="K31" s="393">
        <v>81</v>
      </c>
      <c r="L31" s="393">
        <v>71</v>
      </c>
      <c r="M31" s="393">
        <v>102</v>
      </c>
      <c r="N31" s="240">
        <v>116</v>
      </c>
      <c r="O31" s="225">
        <f t="shared" si="12"/>
        <v>6324.8705742716611</v>
      </c>
      <c r="P31" s="225">
        <f t="shared" si="13"/>
        <v>5423432.0159887727</v>
      </c>
      <c r="Q31" s="225">
        <f t="shared" si="14"/>
        <v>13843428.493892347</v>
      </c>
      <c r="R31" s="61">
        <v>26</v>
      </c>
      <c r="S31" s="327">
        <f>S30</f>
        <v>0</v>
      </c>
      <c r="T31" s="328">
        <f>T30</f>
        <v>1151</v>
      </c>
      <c r="U31" s="328">
        <f>U30</f>
        <v>61</v>
      </c>
      <c r="V31" s="328">
        <f>V30</f>
        <v>71</v>
      </c>
      <c r="W31" s="328">
        <f>W30</f>
        <v>102</v>
      </c>
      <c r="X31" s="328">
        <f t="shared" ref="X31:X55" si="18">$C$37</f>
        <v>0</v>
      </c>
      <c r="Y31" s="225">
        <f t="shared" si="15"/>
        <v>7687.8328753226124</v>
      </c>
      <c r="Z31" s="225">
        <f t="shared" si="16"/>
        <v>6719603.8284881292</v>
      </c>
      <c r="AA31" s="225">
        <f t="shared" si="17"/>
        <v>17087601.726667427</v>
      </c>
    </row>
    <row r="32" spans="1:32" x14ac:dyDescent="0.2">
      <c r="A32" s="55" t="s">
        <v>232</v>
      </c>
      <c r="B32" s="337">
        <v>0</v>
      </c>
      <c r="C32" s="337">
        <v>0</v>
      </c>
      <c r="D32" s="337">
        <f>F4</f>
        <v>39639.780336289943</v>
      </c>
      <c r="E32" s="337">
        <f>F5</f>
        <v>64.507870206552951</v>
      </c>
      <c r="F32" s="337">
        <v>0</v>
      </c>
      <c r="G32" s="337">
        <f>F6</f>
        <v>2416.2644052368146</v>
      </c>
      <c r="H32" s="61">
        <v>27</v>
      </c>
      <c r="I32" s="239">
        <v>927</v>
      </c>
      <c r="J32" s="393">
        <v>88</v>
      </c>
      <c r="K32" s="393">
        <v>81</v>
      </c>
      <c r="L32" s="393">
        <v>71</v>
      </c>
      <c r="M32" s="393">
        <v>102</v>
      </c>
      <c r="N32" s="240">
        <v>116</v>
      </c>
      <c r="O32" s="225">
        <f t="shared" si="12"/>
        <v>6324.8705742716611</v>
      </c>
      <c r="P32" s="225">
        <f t="shared" si="13"/>
        <v>5423432.0159887727</v>
      </c>
      <c r="Q32" s="225">
        <f t="shared" si="14"/>
        <v>13843428.493892347</v>
      </c>
      <c r="R32" s="61">
        <v>27</v>
      </c>
      <c r="S32" s="327">
        <f t="shared" ref="S32:S55" si="19">S31</f>
        <v>0</v>
      </c>
      <c r="T32" s="328">
        <f t="shared" ref="T32:T55" si="20">T31</f>
        <v>1151</v>
      </c>
      <c r="U32" s="328">
        <f t="shared" ref="U32:U55" si="21">U31</f>
        <v>61</v>
      </c>
      <c r="V32" s="328">
        <f t="shared" ref="V32:V55" si="22">V31</f>
        <v>71</v>
      </c>
      <c r="W32" s="328">
        <f t="shared" ref="W32:W55" si="23">W31</f>
        <v>102</v>
      </c>
      <c r="X32" s="328">
        <f t="shared" si="18"/>
        <v>0</v>
      </c>
      <c r="Y32" s="225">
        <f t="shared" si="15"/>
        <v>7687.8328753226124</v>
      </c>
      <c r="Z32" s="225">
        <f t="shared" si="16"/>
        <v>6719603.8284881292</v>
      </c>
      <c r="AA32" s="225">
        <f t="shared" si="17"/>
        <v>17087601.726667427</v>
      </c>
    </row>
    <row r="33" spans="1:27" x14ac:dyDescent="0.2">
      <c r="A33" s="56" t="s">
        <v>233</v>
      </c>
      <c r="B33" s="338">
        <v>0</v>
      </c>
      <c r="C33" s="338">
        <f>F3*B47</f>
        <v>20414.229821417401</v>
      </c>
      <c r="D33" s="338">
        <f>F4*B47</f>
        <v>31711.824269031957</v>
      </c>
      <c r="E33" s="338">
        <v>0</v>
      </c>
      <c r="F33" s="338">
        <v>0</v>
      </c>
      <c r="G33" s="338">
        <v>0</v>
      </c>
      <c r="H33" s="61">
        <v>28</v>
      </c>
      <c r="I33" s="239">
        <v>927</v>
      </c>
      <c r="J33" s="393">
        <v>88</v>
      </c>
      <c r="K33" s="393">
        <v>81</v>
      </c>
      <c r="L33" s="393">
        <v>71</v>
      </c>
      <c r="M33" s="393">
        <v>102</v>
      </c>
      <c r="N33" s="240">
        <v>116</v>
      </c>
      <c r="O33" s="225">
        <f t="shared" si="12"/>
        <v>6324.8705742716611</v>
      </c>
      <c r="P33" s="225">
        <f t="shared" si="13"/>
        <v>5423432.0159887727</v>
      </c>
      <c r="Q33" s="225">
        <f t="shared" si="14"/>
        <v>13843428.493892347</v>
      </c>
      <c r="R33" s="61">
        <v>28</v>
      </c>
      <c r="S33" s="327">
        <f t="shared" si="19"/>
        <v>0</v>
      </c>
      <c r="T33" s="328">
        <f t="shared" si="20"/>
        <v>1151</v>
      </c>
      <c r="U33" s="328">
        <f t="shared" si="21"/>
        <v>61</v>
      </c>
      <c r="V33" s="328">
        <f t="shared" si="22"/>
        <v>71</v>
      </c>
      <c r="W33" s="328">
        <f t="shared" si="23"/>
        <v>102</v>
      </c>
      <c r="X33" s="328">
        <f t="shared" si="18"/>
        <v>0</v>
      </c>
      <c r="Y33" s="225">
        <f t="shared" si="15"/>
        <v>7687.8328753226124</v>
      </c>
      <c r="Z33" s="225">
        <f t="shared" si="16"/>
        <v>6719603.8284881292</v>
      </c>
      <c r="AA33" s="225">
        <f t="shared" si="17"/>
        <v>17087601.726667427</v>
      </c>
    </row>
    <row r="34" spans="1:27" x14ac:dyDescent="0.2">
      <c r="E34" s="326"/>
      <c r="H34" s="61">
        <v>29</v>
      </c>
      <c r="I34" s="239">
        <v>927</v>
      </c>
      <c r="J34" s="393">
        <v>88</v>
      </c>
      <c r="K34" s="393">
        <v>81</v>
      </c>
      <c r="L34" s="393">
        <v>71</v>
      </c>
      <c r="M34" s="393">
        <v>102</v>
      </c>
      <c r="N34" s="240">
        <v>116</v>
      </c>
      <c r="O34" s="225">
        <f t="shared" si="12"/>
        <v>6324.8705742716611</v>
      </c>
      <c r="P34" s="225">
        <f t="shared" si="13"/>
        <v>5423432.0159887727</v>
      </c>
      <c r="Q34" s="225">
        <f t="shared" si="14"/>
        <v>13843428.493892347</v>
      </c>
      <c r="R34" s="61">
        <v>29</v>
      </c>
      <c r="S34" s="327">
        <f t="shared" si="19"/>
        <v>0</v>
      </c>
      <c r="T34" s="328">
        <f t="shared" si="20"/>
        <v>1151</v>
      </c>
      <c r="U34" s="328">
        <f t="shared" si="21"/>
        <v>61</v>
      </c>
      <c r="V34" s="328">
        <f t="shared" si="22"/>
        <v>71</v>
      </c>
      <c r="W34" s="328">
        <f t="shared" si="23"/>
        <v>102</v>
      </c>
      <c r="X34" s="328">
        <f t="shared" si="18"/>
        <v>0</v>
      </c>
      <c r="Y34" s="225">
        <f t="shared" si="15"/>
        <v>7687.8328753226124</v>
      </c>
      <c r="Z34" s="225">
        <f t="shared" si="16"/>
        <v>6719603.8284881292</v>
      </c>
      <c r="AA34" s="225">
        <f t="shared" si="17"/>
        <v>17087601.726667427</v>
      </c>
    </row>
    <row r="35" spans="1:27" ht="15.75" x14ac:dyDescent="0.25">
      <c r="A35" s="392" t="s">
        <v>212</v>
      </c>
      <c r="B35" s="61" t="s">
        <v>213</v>
      </c>
      <c r="E35" s="108"/>
      <c r="H35" s="61">
        <v>30</v>
      </c>
      <c r="I35" s="239">
        <v>927</v>
      </c>
      <c r="J35" s="393">
        <v>88</v>
      </c>
      <c r="K35" s="393">
        <v>81</v>
      </c>
      <c r="L35" s="393">
        <v>71</v>
      </c>
      <c r="M35" s="393">
        <v>102</v>
      </c>
      <c r="N35" s="240">
        <v>116</v>
      </c>
      <c r="O35" s="225">
        <f t="shared" si="12"/>
        <v>6324.8705742716611</v>
      </c>
      <c r="P35" s="225">
        <f t="shared" si="13"/>
        <v>5423432.0159887727</v>
      </c>
      <c r="Q35" s="225">
        <f t="shared" si="14"/>
        <v>13843428.493892347</v>
      </c>
      <c r="R35" s="61">
        <v>30</v>
      </c>
      <c r="S35" s="327">
        <f t="shared" si="19"/>
        <v>0</v>
      </c>
      <c r="T35" s="328">
        <f t="shared" si="20"/>
        <v>1151</v>
      </c>
      <c r="U35" s="328">
        <f t="shared" si="21"/>
        <v>61</v>
      </c>
      <c r="V35" s="328">
        <f t="shared" si="22"/>
        <v>71</v>
      </c>
      <c r="W35" s="328">
        <f t="shared" si="23"/>
        <v>102</v>
      </c>
      <c r="X35" s="328">
        <f t="shared" si="18"/>
        <v>0</v>
      </c>
      <c r="Y35" s="225">
        <f t="shared" si="15"/>
        <v>7687.8328753226124</v>
      </c>
      <c r="Z35" s="225">
        <f t="shared" si="16"/>
        <v>6719603.8284881292</v>
      </c>
      <c r="AA35" s="225">
        <f t="shared" si="17"/>
        <v>17087601.726667427</v>
      </c>
    </row>
    <row r="36" spans="1:27" x14ac:dyDescent="0.2">
      <c r="A36" s="389" t="s">
        <v>195</v>
      </c>
      <c r="B36" s="389" t="str">
        <f>H1</f>
        <v>FC 1.0/No Action</v>
      </c>
      <c r="C36" s="389" t="str">
        <f>R1</f>
        <v>FC 2.0</v>
      </c>
      <c r="D36" s="389"/>
      <c r="E36" s="108"/>
      <c r="F36" s="61"/>
      <c r="G36" s="61"/>
      <c r="H36" s="61">
        <v>31</v>
      </c>
      <c r="I36" s="239">
        <v>927</v>
      </c>
      <c r="J36" s="393">
        <v>88</v>
      </c>
      <c r="K36" s="393">
        <v>81</v>
      </c>
      <c r="L36" s="393">
        <v>71</v>
      </c>
      <c r="M36" s="393">
        <v>102</v>
      </c>
      <c r="N36" s="240">
        <v>116</v>
      </c>
      <c r="O36" s="225">
        <f t="shared" si="12"/>
        <v>6324.8705742716611</v>
      </c>
      <c r="P36" s="225">
        <f t="shared" si="13"/>
        <v>5423432.0159887727</v>
      </c>
      <c r="Q36" s="225">
        <f t="shared" si="14"/>
        <v>13843428.493892347</v>
      </c>
      <c r="R36" s="61">
        <v>31</v>
      </c>
      <c r="S36" s="327">
        <f t="shared" si="19"/>
        <v>0</v>
      </c>
      <c r="T36" s="328">
        <f t="shared" si="20"/>
        <v>1151</v>
      </c>
      <c r="U36" s="328">
        <f t="shared" si="21"/>
        <v>61</v>
      </c>
      <c r="V36" s="328">
        <f t="shared" si="22"/>
        <v>71</v>
      </c>
      <c r="W36" s="328">
        <f t="shared" si="23"/>
        <v>102</v>
      </c>
      <c r="X36" s="328">
        <f t="shared" si="18"/>
        <v>0</v>
      </c>
      <c r="Y36" s="225">
        <f t="shared" si="15"/>
        <v>7687.8328753226124</v>
      </c>
      <c r="Z36" s="225">
        <f t="shared" si="16"/>
        <v>6719603.8284881292</v>
      </c>
      <c r="AA36" s="225">
        <f t="shared" si="17"/>
        <v>17087601.726667427</v>
      </c>
    </row>
    <row r="37" spans="1:27" x14ac:dyDescent="0.2">
      <c r="A37" s="401" t="s">
        <v>229</v>
      </c>
      <c r="B37" s="325">
        <f>Alternatives_Assumptions!B36</f>
        <v>927</v>
      </c>
      <c r="C37" s="325">
        <f>Alternatives_Assumptions!C36</f>
        <v>0</v>
      </c>
      <c r="D37" s="353"/>
      <c r="E37" s="108"/>
      <c r="F37" s="61"/>
      <c r="G37" s="61"/>
      <c r="H37" s="61">
        <v>32</v>
      </c>
      <c r="I37" s="239">
        <v>927</v>
      </c>
      <c r="J37" s="393">
        <v>88</v>
      </c>
      <c r="K37" s="393">
        <v>81</v>
      </c>
      <c r="L37" s="393">
        <v>71</v>
      </c>
      <c r="M37" s="393">
        <v>102</v>
      </c>
      <c r="N37" s="240">
        <v>116</v>
      </c>
      <c r="O37" s="225">
        <f t="shared" si="12"/>
        <v>6324.8705742716611</v>
      </c>
      <c r="P37" s="225">
        <f t="shared" si="13"/>
        <v>5423432.0159887727</v>
      </c>
      <c r="Q37" s="225">
        <f t="shared" si="14"/>
        <v>13843428.493892347</v>
      </c>
      <c r="R37" s="61">
        <v>32</v>
      </c>
      <c r="S37" s="327">
        <f t="shared" si="19"/>
        <v>0</v>
      </c>
      <c r="T37" s="328">
        <f t="shared" si="20"/>
        <v>1151</v>
      </c>
      <c r="U37" s="328">
        <f t="shared" si="21"/>
        <v>61</v>
      </c>
      <c r="V37" s="328">
        <f t="shared" si="22"/>
        <v>71</v>
      </c>
      <c r="W37" s="328">
        <f t="shared" si="23"/>
        <v>102</v>
      </c>
      <c r="X37" s="328">
        <f t="shared" si="18"/>
        <v>0</v>
      </c>
      <c r="Y37" s="225">
        <f t="shared" si="15"/>
        <v>7687.8328753226124</v>
      </c>
      <c r="Z37" s="225">
        <f t="shared" si="16"/>
        <v>6719603.8284881292</v>
      </c>
      <c r="AA37" s="225">
        <f t="shared" si="17"/>
        <v>17087601.726667427</v>
      </c>
    </row>
    <row r="38" spans="1:27" x14ac:dyDescent="0.2">
      <c r="A38" s="402" t="s">
        <v>73</v>
      </c>
      <c r="B38" s="354">
        <f>Alternatives_Assumptions!B37</f>
        <v>88</v>
      </c>
      <c r="C38" s="354">
        <f>Alternatives_Assumptions!C37</f>
        <v>1151</v>
      </c>
      <c r="D38" s="355"/>
      <c r="E38" s="108"/>
      <c r="F38" s="61"/>
      <c r="G38" s="61"/>
      <c r="H38" s="61">
        <v>33</v>
      </c>
      <c r="I38" s="239">
        <v>927</v>
      </c>
      <c r="J38" s="393">
        <v>88</v>
      </c>
      <c r="K38" s="393">
        <v>81</v>
      </c>
      <c r="L38" s="393">
        <v>71</v>
      </c>
      <c r="M38" s="393">
        <v>102</v>
      </c>
      <c r="N38" s="240">
        <v>116</v>
      </c>
      <c r="O38" s="225">
        <f t="shared" si="12"/>
        <v>6324.8705742716611</v>
      </c>
      <c r="P38" s="225">
        <f t="shared" si="13"/>
        <v>5423432.0159887727</v>
      </c>
      <c r="Q38" s="225">
        <f t="shared" si="14"/>
        <v>13843428.493892347</v>
      </c>
      <c r="R38" s="61">
        <v>33</v>
      </c>
      <c r="S38" s="327">
        <f t="shared" si="19"/>
        <v>0</v>
      </c>
      <c r="T38" s="328">
        <f t="shared" si="20"/>
        <v>1151</v>
      </c>
      <c r="U38" s="328">
        <f t="shared" si="21"/>
        <v>61</v>
      </c>
      <c r="V38" s="328">
        <f t="shared" si="22"/>
        <v>71</v>
      </c>
      <c r="W38" s="328">
        <f t="shared" si="23"/>
        <v>102</v>
      </c>
      <c r="X38" s="328">
        <f t="shared" si="18"/>
        <v>0</v>
      </c>
      <c r="Y38" s="225">
        <f t="shared" si="15"/>
        <v>7687.8328753226124</v>
      </c>
      <c r="Z38" s="225">
        <f t="shared" si="16"/>
        <v>6719603.8284881292</v>
      </c>
      <c r="AA38" s="225">
        <f t="shared" si="17"/>
        <v>17087601.726667427</v>
      </c>
    </row>
    <row r="39" spans="1:27" x14ac:dyDescent="0.2">
      <c r="A39" s="402" t="s">
        <v>230</v>
      </c>
      <c r="B39" s="354">
        <f>Alternatives_Assumptions!B38</f>
        <v>81</v>
      </c>
      <c r="C39" s="354">
        <f>Alternatives_Assumptions!C38</f>
        <v>61</v>
      </c>
      <c r="D39" s="355"/>
      <c r="E39" s="108"/>
      <c r="F39" s="61"/>
      <c r="G39" s="61"/>
      <c r="H39" s="61">
        <v>34</v>
      </c>
      <c r="I39" s="239">
        <v>927</v>
      </c>
      <c r="J39" s="393">
        <v>88</v>
      </c>
      <c r="K39" s="393">
        <v>81</v>
      </c>
      <c r="L39" s="393">
        <v>71</v>
      </c>
      <c r="M39" s="393">
        <v>102</v>
      </c>
      <c r="N39" s="240">
        <v>116</v>
      </c>
      <c r="O39" s="225">
        <f t="shared" si="12"/>
        <v>6324.8705742716611</v>
      </c>
      <c r="P39" s="225">
        <f t="shared" si="13"/>
        <v>5423432.0159887727</v>
      </c>
      <c r="Q39" s="225">
        <f t="shared" si="14"/>
        <v>13843428.493892347</v>
      </c>
      <c r="R39" s="61">
        <v>34</v>
      </c>
      <c r="S39" s="327">
        <f t="shared" si="19"/>
        <v>0</v>
      </c>
      <c r="T39" s="328">
        <f t="shared" si="20"/>
        <v>1151</v>
      </c>
      <c r="U39" s="328">
        <f t="shared" si="21"/>
        <v>61</v>
      </c>
      <c r="V39" s="328">
        <f t="shared" si="22"/>
        <v>71</v>
      </c>
      <c r="W39" s="328">
        <f t="shared" si="23"/>
        <v>102</v>
      </c>
      <c r="X39" s="328">
        <f t="shared" si="18"/>
        <v>0</v>
      </c>
      <c r="Y39" s="225">
        <f t="shared" si="15"/>
        <v>7687.8328753226124</v>
      </c>
      <c r="Z39" s="225">
        <f t="shared" si="16"/>
        <v>6719603.8284881292</v>
      </c>
      <c r="AA39" s="225">
        <f t="shared" si="17"/>
        <v>17087601.726667427</v>
      </c>
    </row>
    <row r="40" spans="1:27" x14ac:dyDescent="0.2">
      <c r="A40" s="402" t="s">
        <v>231</v>
      </c>
      <c r="B40" s="354">
        <f>Alternatives_Assumptions!B39</f>
        <v>71</v>
      </c>
      <c r="C40" s="354">
        <f>Alternatives_Assumptions!C39</f>
        <v>71</v>
      </c>
      <c r="D40" s="355"/>
      <c r="E40" s="326"/>
      <c r="F40" s="61"/>
      <c r="G40" s="61"/>
      <c r="H40" s="61">
        <v>35</v>
      </c>
      <c r="I40" s="239">
        <v>927</v>
      </c>
      <c r="J40" s="393">
        <v>88</v>
      </c>
      <c r="K40" s="393">
        <v>81</v>
      </c>
      <c r="L40" s="393">
        <v>71</v>
      </c>
      <c r="M40" s="393">
        <v>102</v>
      </c>
      <c r="N40" s="240">
        <v>116</v>
      </c>
      <c r="O40" s="225">
        <f t="shared" si="12"/>
        <v>6324.8705742716611</v>
      </c>
      <c r="P40" s="225">
        <f t="shared" si="13"/>
        <v>5423432.0159887727</v>
      </c>
      <c r="Q40" s="225">
        <f t="shared" si="14"/>
        <v>13843428.493892347</v>
      </c>
      <c r="R40" s="61">
        <v>35</v>
      </c>
      <c r="S40" s="327">
        <f t="shared" si="19"/>
        <v>0</v>
      </c>
      <c r="T40" s="328">
        <f t="shared" si="20"/>
        <v>1151</v>
      </c>
      <c r="U40" s="328">
        <f t="shared" si="21"/>
        <v>61</v>
      </c>
      <c r="V40" s="328">
        <f t="shared" si="22"/>
        <v>71</v>
      </c>
      <c r="W40" s="328">
        <f t="shared" si="23"/>
        <v>102</v>
      </c>
      <c r="X40" s="328">
        <f t="shared" si="18"/>
        <v>0</v>
      </c>
      <c r="Y40" s="225">
        <f t="shared" si="15"/>
        <v>7687.8328753226124</v>
      </c>
      <c r="Z40" s="225">
        <f t="shared" si="16"/>
        <v>6719603.8284881292</v>
      </c>
      <c r="AA40" s="225">
        <f t="shared" si="17"/>
        <v>17087601.726667427</v>
      </c>
    </row>
    <row r="41" spans="1:27" x14ac:dyDescent="0.2">
      <c r="A41" s="402" t="s">
        <v>232</v>
      </c>
      <c r="B41" s="354">
        <f>Alternatives_Assumptions!B40</f>
        <v>102</v>
      </c>
      <c r="C41" s="354">
        <f>Alternatives_Assumptions!C40</f>
        <v>102</v>
      </c>
      <c r="D41" s="355"/>
      <c r="E41" s="61"/>
      <c r="F41" s="61"/>
      <c r="G41" s="61"/>
      <c r="H41" s="61">
        <v>36</v>
      </c>
      <c r="I41" s="239">
        <v>927</v>
      </c>
      <c r="J41" s="393">
        <v>88</v>
      </c>
      <c r="K41" s="393">
        <v>81</v>
      </c>
      <c r="L41" s="393">
        <v>71</v>
      </c>
      <c r="M41" s="393">
        <v>102</v>
      </c>
      <c r="N41" s="240">
        <v>116</v>
      </c>
      <c r="O41" s="225">
        <f t="shared" si="12"/>
        <v>6324.8705742716611</v>
      </c>
      <c r="P41" s="225">
        <f t="shared" si="13"/>
        <v>5423432.0159887727</v>
      </c>
      <c r="Q41" s="225">
        <f t="shared" si="14"/>
        <v>13843428.493892347</v>
      </c>
      <c r="R41" s="61">
        <v>36</v>
      </c>
      <c r="S41" s="327">
        <f t="shared" si="19"/>
        <v>0</v>
      </c>
      <c r="T41" s="328">
        <f t="shared" si="20"/>
        <v>1151</v>
      </c>
      <c r="U41" s="328">
        <f t="shared" si="21"/>
        <v>61</v>
      </c>
      <c r="V41" s="328">
        <f t="shared" si="22"/>
        <v>71</v>
      </c>
      <c r="W41" s="328">
        <f t="shared" si="23"/>
        <v>102</v>
      </c>
      <c r="X41" s="328">
        <f t="shared" si="18"/>
        <v>0</v>
      </c>
      <c r="Y41" s="225">
        <f t="shared" si="15"/>
        <v>7687.8328753226124</v>
      </c>
      <c r="Z41" s="225">
        <f t="shared" si="16"/>
        <v>6719603.8284881292</v>
      </c>
      <c r="AA41" s="225">
        <f t="shared" si="17"/>
        <v>17087601.726667427</v>
      </c>
    </row>
    <row r="42" spans="1:27" x14ac:dyDescent="0.2">
      <c r="A42" s="403" t="s">
        <v>233</v>
      </c>
      <c r="B42" s="404">
        <f>Alternatives_Assumptions!B41</f>
        <v>116</v>
      </c>
      <c r="C42" s="404">
        <f>Alternatives_Assumptions!C41</f>
        <v>0</v>
      </c>
      <c r="D42" s="405"/>
      <c r="E42" s="61"/>
      <c r="F42" s="61"/>
      <c r="G42" s="61"/>
      <c r="H42" s="61">
        <v>37</v>
      </c>
      <c r="I42" s="239">
        <v>927</v>
      </c>
      <c r="J42" s="393">
        <v>88</v>
      </c>
      <c r="K42" s="393">
        <v>81</v>
      </c>
      <c r="L42" s="393">
        <v>71</v>
      </c>
      <c r="M42" s="393">
        <v>102</v>
      </c>
      <c r="N42" s="240">
        <v>116</v>
      </c>
      <c r="O42" s="225">
        <f t="shared" si="12"/>
        <v>6324.8705742716611</v>
      </c>
      <c r="P42" s="225">
        <f t="shared" si="13"/>
        <v>5423432.0159887727</v>
      </c>
      <c r="Q42" s="225">
        <f t="shared" si="14"/>
        <v>13843428.493892347</v>
      </c>
      <c r="R42" s="61">
        <v>37</v>
      </c>
      <c r="S42" s="327">
        <f t="shared" si="19"/>
        <v>0</v>
      </c>
      <c r="T42" s="328">
        <f t="shared" si="20"/>
        <v>1151</v>
      </c>
      <c r="U42" s="328">
        <f t="shared" si="21"/>
        <v>61</v>
      </c>
      <c r="V42" s="328">
        <f t="shared" si="22"/>
        <v>71</v>
      </c>
      <c r="W42" s="328">
        <f t="shared" si="23"/>
        <v>102</v>
      </c>
      <c r="X42" s="328">
        <f t="shared" si="18"/>
        <v>0</v>
      </c>
      <c r="Y42" s="225">
        <f t="shared" si="15"/>
        <v>7687.8328753226124</v>
      </c>
      <c r="Z42" s="225">
        <f t="shared" si="16"/>
        <v>6719603.8284881292</v>
      </c>
      <c r="AA42" s="225">
        <f t="shared" si="17"/>
        <v>17087601.726667427</v>
      </c>
    </row>
    <row r="43" spans="1:27" x14ac:dyDescent="0.2">
      <c r="A43" s="356" t="s">
        <v>196</v>
      </c>
      <c r="B43" s="357">
        <f>SUM(B37:B42)</f>
        <v>1385</v>
      </c>
      <c r="C43" s="357">
        <f>SUM(C37:C42)</f>
        <v>1385</v>
      </c>
      <c r="D43" s="358"/>
      <c r="E43" s="61"/>
      <c r="F43" s="61"/>
      <c r="G43" s="61"/>
      <c r="H43" s="61">
        <v>38</v>
      </c>
      <c r="I43" s="239">
        <v>927</v>
      </c>
      <c r="J43" s="393">
        <v>88</v>
      </c>
      <c r="K43" s="393">
        <v>81</v>
      </c>
      <c r="L43" s="393">
        <v>71</v>
      </c>
      <c r="M43" s="393">
        <v>102</v>
      </c>
      <c r="N43" s="240">
        <v>116</v>
      </c>
      <c r="O43" s="225">
        <f t="shared" si="12"/>
        <v>6324.8705742716611</v>
      </c>
      <c r="P43" s="225">
        <f t="shared" si="13"/>
        <v>5423432.0159887727</v>
      </c>
      <c r="Q43" s="225">
        <f t="shared" si="14"/>
        <v>13843428.493892347</v>
      </c>
      <c r="R43" s="61">
        <v>38</v>
      </c>
      <c r="S43" s="327">
        <f t="shared" si="19"/>
        <v>0</v>
      </c>
      <c r="T43" s="328">
        <f t="shared" si="20"/>
        <v>1151</v>
      </c>
      <c r="U43" s="328">
        <f t="shared" si="21"/>
        <v>61</v>
      </c>
      <c r="V43" s="328">
        <f t="shared" si="22"/>
        <v>71</v>
      </c>
      <c r="W43" s="328">
        <f t="shared" si="23"/>
        <v>102</v>
      </c>
      <c r="X43" s="328">
        <f t="shared" si="18"/>
        <v>0</v>
      </c>
      <c r="Y43" s="225">
        <f t="shared" si="15"/>
        <v>7687.8328753226124</v>
      </c>
      <c r="Z43" s="225">
        <f t="shared" si="16"/>
        <v>6719603.8284881292</v>
      </c>
      <c r="AA43" s="225">
        <f t="shared" si="17"/>
        <v>17087601.726667427</v>
      </c>
    </row>
    <row r="44" spans="1:27" x14ac:dyDescent="0.2">
      <c r="C44" s="61"/>
      <c r="D44" s="61"/>
      <c r="E44" s="61"/>
      <c r="F44" s="61"/>
      <c r="G44" s="61"/>
      <c r="H44" s="61">
        <v>39</v>
      </c>
      <c r="I44" s="239">
        <v>927</v>
      </c>
      <c r="J44" s="393">
        <v>88</v>
      </c>
      <c r="K44" s="393">
        <v>81</v>
      </c>
      <c r="L44" s="393">
        <v>71</v>
      </c>
      <c r="M44" s="393">
        <v>102</v>
      </c>
      <c r="N44" s="240">
        <v>116</v>
      </c>
      <c r="O44" s="225">
        <f t="shared" si="12"/>
        <v>6324.8705742716611</v>
      </c>
      <c r="P44" s="225">
        <f t="shared" si="13"/>
        <v>5423432.0159887727</v>
      </c>
      <c r="Q44" s="225">
        <f t="shared" si="14"/>
        <v>13843428.493892347</v>
      </c>
      <c r="R44" s="61">
        <v>39</v>
      </c>
      <c r="S44" s="327">
        <f t="shared" si="19"/>
        <v>0</v>
      </c>
      <c r="T44" s="328">
        <f t="shared" si="20"/>
        <v>1151</v>
      </c>
      <c r="U44" s="328">
        <f t="shared" si="21"/>
        <v>61</v>
      </c>
      <c r="V44" s="328">
        <f t="shared" si="22"/>
        <v>71</v>
      </c>
      <c r="W44" s="328">
        <f t="shared" si="23"/>
        <v>102</v>
      </c>
      <c r="X44" s="328">
        <f t="shared" si="18"/>
        <v>0</v>
      </c>
      <c r="Y44" s="225">
        <f t="shared" si="15"/>
        <v>7687.8328753226124</v>
      </c>
      <c r="Z44" s="225">
        <f t="shared" si="16"/>
        <v>6719603.8284881292</v>
      </c>
      <c r="AA44" s="225">
        <f t="shared" si="17"/>
        <v>17087601.726667427</v>
      </c>
    </row>
    <row r="45" spans="1:27" x14ac:dyDescent="0.2">
      <c r="A45" s="42" t="s">
        <v>198</v>
      </c>
      <c r="B45" s="42"/>
      <c r="C45" s="42"/>
      <c r="D45" s="42"/>
      <c r="E45" s="61"/>
      <c r="F45" s="61"/>
      <c r="G45" s="61"/>
      <c r="H45" s="61">
        <v>40</v>
      </c>
      <c r="I45" s="239">
        <v>927</v>
      </c>
      <c r="J45" s="393">
        <v>88</v>
      </c>
      <c r="K45" s="393">
        <v>81</v>
      </c>
      <c r="L45" s="393">
        <v>71</v>
      </c>
      <c r="M45" s="393">
        <v>102</v>
      </c>
      <c r="N45" s="240">
        <v>116</v>
      </c>
      <c r="O45" s="225">
        <f t="shared" si="12"/>
        <v>6324.8705742716611</v>
      </c>
      <c r="P45" s="225">
        <f t="shared" si="13"/>
        <v>5423432.0159887727</v>
      </c>
      <c r="Q45" s="225">
        <f t="shared" si="14"/>
        <v>13843428.493892347</v>
      </c>
      <c r="R45" s="61">
        <v>40</v>
      </c>
      <c r="S45" s="327">
        <f t="shared" si="19"/>
        <v>0</v>
      </c>
      <c r="T45" s="328">
        <f t="shared" si="20"/>
        <v>1151</v>
      </c>
      <c r="U45" s="328">
        <f t="shared" si="21"/>
        <v>61</v>
      </c>
      <c r="V45" s="328">
        <f t="shared" si="22"/>
        <v>71</v>
      </c>
      <c r="W45" s="328">
        <f t="shared" si="23"/>
        <v>102</v>
      </c>
      <c r="X45" s="328">
        <f t="shared" si="18"/>
        <v>0</v>
      </c>
      <c r="Y45" s="225">
        <f t="shared" si="15"/>
        <v>7687.8328753226124</v>
      </c>
      <c r="Z45" s="225">
        <f t="shared" si="16"/>
        <v>6719603.8284881292</v>
      </c>
      <c r="AA45" s="225">
        <f t="shared" si="17"/>
        <v>17087601.726667427</v>
      </c>
    </row>
    <row r="46" spans="1:27" x14ac:dyDescent="0.2">
      <c r="A46" s="108" t="s">
        <v>231</v>
      </c>
      <c r="B46" s="333">
        <v>1</v>
      </c>
      <c r="C46" s="49" t="s">
        <v>251</v>
      </c>
      <c r="D46" s="49"/>
      <c r="E46" s="61"/>
      <c r="F46" s="61"/>
      <c r="G46" s="61"/>
      <c r="H46" s="61">
        <v>41</v>
      </c>
      <c r="I46" s="239">
        <v>927</v>
      </c>
      <c r="J46" s="393">
        <v>88</v>
      </c>
      <c r="K46" s="393">
        <v>81</v>
      </c>
      <c r="L46" s="393">
        <v>71</v>
      </c>
      <c r="M46" s="393">
        <v>102</v>
      </c>
      <c r="N46" s="240">
        <v>116</v>
      </c>
      <c r="O46" s="225">
        <f t="shared" si="12"/>
        <v>6324.8705742716611</v>
      </c>
      <c r="P46" s="225">
        <f t="shared" si="13"/>
        <v>5423432.0159887727</v>
      </c>
      <c r="Q46" s="225">
        <f t="shared" si="14"/>
        <v>13843428.493892347</v>
      </c>
      <c r="R46" s="61">
        <v>41</v>
      </c>
      <c r="S46" s="327">
        <f t="shared" si="19"/>
        <v>0</v>
      </c>
      <c r="T46" s="328">
        <f t="shared" si="20"/>
        <v>1151</v>
      </c>
      <c r="U46" s="328">
        <f t="shared" si="21"/>
        <v>61</v>
      </c>
      <c r="V46" s="328">
        <f t="shared" si="22"/>
        <v>71</v>
      </c>
      <c r="W46" s="328">
        <f t="shared" si="23"/>
        <v>102</v>
      </c>
      <c r="X46" s="328">
        <f t="shared" si="18"/>
        <v>0</v>
      </c>
      <c r="Y46" s="225">
        <f t="shared" si="15"/>
        <v>7687.8328753226124</v>
      </c>
      <c r="Z46" s="225">
        <f t="shared" si="16"/>
        <v>6719603.8284881292</v>
      </c>
      <c r="AA46" s="225">
        <f t="shared" si="17"/>
        <v>17087601.726667427</v>
      </c>
    </row>
    <row r="47" spans="1:27" x14ac:dyDescent="0.2">
      <c r="A47" s="108" t="s">
        <v>233</v>
      </c>
      <c r="B47" s="333">
        <v>0.8</v>
      </c>
      <c r="C47" s="49" t="s">
        <v>199</v>
      </c>
      <c r="D47" s="49"/>
      <c r="E47" s="61"/>
      <c r="F47" s="61"/>
      <c r="G47" s="61"/>
      <c r="H47" s="61">
        <v>42</v>
      </c>
      <c r="I47" s="239">
        <v>927</v>
      </c>
      <c r="J47" s="393">
        <v>88</v>
      </c>
      <c r="K47" s="393">
        <v>81</v>
      </c>
      <c r="L47" s="393">
        <v>71</v>
      </c>
      <c r="M47" s="393">
        <v>102</v>
      </c>
      <c r="N47" s="240">
        <v>116</v>
      </c>
      <c r="O47" s="225">
        <f t="shared" si="12"/>
        <v>6324.8705742716611</v>
      </c>
      <c r="P47" s="225">
        <f t="shared" si="13"/>
        <v>5423432.0159887727</v>
      </c>
      <c r="Q47" s="225">
        <f t="shared" si="14"/>
        <v>13843428.493892347</v>
      </c>
      <c r="R47" s="61">
        <v>42</v>
      </c>
      <c r="S47" s="327">
        <f t="shared" si="19"/>
        <v>0</v>
      </c>
      <c r="T47" s="328">
        <f t="shared" si="20"/>
        <v>1151</v>
      </c>
      <c r="U47" s="328">
        <f t="shared" si="21"/>
        <v>61</v>
      </c>
      <c r="V47" s="328">
        <f t="shared" si="22"/>
        <v>71</v>
      </c>
      <c r="W47" s="328">
        <f t="shared" si="23"/>
        <v>102</v>
      </c>
      <c r="X47" s="328">
        <f t="shared" si="18"/>
        <v>0</v>
      </c>
      <c r="Y47" s="225">
        <f t="shared" si="15"/>
        <v>7687.8328753226124</v>
      </c>
      <c r="Z47" s="225">
        <f t="shared" si="16"/>
        <v>6719603.8284881292</v>
      </c>
      <c r="AA47" s="225">
        <f t="shared" si="17"/>
        <v>17087601.726667427</v>
      </c>
    </row>
    <row r="48" spans="1:27" x14ac:dyDescent="0.2">
      <c r="A48" s="108" t="s">
        <v>230</v>
      </c>
      <c r="B48" s="333">
        <v>0.5</v>
      </c>
      <c r="C48" s="49" t="s">
        <v>251</v>
      </c>
      <c r="D48" s="49"/>
      <c r="E48" s="61"/>
      <c r="F48" s="61"/>
      <c r="G48" s="61"/>
      <c r="H48" s="61">
        <v>43</v>
      </c>
      <c r="I48" s="239">
        <v>927</v>
      </c>
      <c r="J48" s="393">
        <v>88</v>
      </c>
      <c r="K48" s="393">
        <v>81</v>
      </c>
      <c r="L48" s="393">
        <v>71</v>
      </c>
      <c r="M48" s="393">
        <v>102</v>
      </c>
      <c r="N48" s="240">
        <v>116</v>
      </c>
      <c r="O48" s="225">
        <f t="shared" si="12"/>
        <v>6324.8705742716611</v>
      </c>
      <c r="P48" s="225">
        <f t="shared" si="13"/>
        <v>5423432.0159887727</v>
      </c>
      <c r="Q48" s="225">
        <f t="shared" si="14"/>
        <v>13843428.493892347</v>
      </c>
      <c r="R48" s="61">
        <v>43</v>
      </c>
      <c r="S48" s="327">
        <f t="shared" si="19"/>
        <v>0</v>
      </c>
      <c r="T48" s="328">
        <f t="shared" si="20"/>
        <v>1151</v>
      </c>
      <c r="U48" s="328">
        <f t="shared" si="21"/>
        <v>61</v>
      </c>
      <c r="V48" s="328">
        <f t="shared" si="22"/>
        <v>71</v>
      </c>
      <c r="W48" s="328">
        <f t="shared" si="23"/>
        <v>102</v>
      </c>
      <c r="X48" s="328">
        <f t="shared" si="18"/>
        <v>0</v>
      </c>
      <c r="Y48" s="225">
        <f t="shared" si="15"/>
        <v>7687.8328753226124</v>
      </c>
      <c r="Z48" s="225">
        <f t="shared" si="16"/>
        <v>6719603.8284881292</v>
      </c>
      <c r="AA48" s="225">
        <f t="shared" si="17"/>
        <v>17087601.726667427</v>
      </c>
    </row>
    <row r="49" spans="1:27" x14ac:dyDescent="0.2">
      <c r="A49" s="108" t="s">
        <v>197</v>
      </c>
      <c r="B49" s="333">
        <v>0.8</v>
      </c>
      <c r="C49" s="49" t="s">
        <v>199</v>
      </c>
      <c r="D49" s="49"/>
      <c r="E49" s="49"/>
      <c r="F49" s="61"/>
      <c r="G49" s="61"/>
      <c r="H49" s="61">
        <v>44</v>
      </c>
      <c r="I49" s="239">
        <v>927</v>
      </c>
      <c r="J49" s="393">
        <v>88</v>
      </c>
      <c r="K49" s="393">
        <v>81</v>
      </c>
      <c r="L49" s="393">
        <v>71</v>
      </c>
      <c r="M49" s="393">
        <v>102</v>
      </c>
      <c r="N49" s="240">
        <v>116</v>
      </c>
      <c r="O49" s="225">
        <f t="shared" si="12"/>
        <v>6324.8705742716611</v>
      </c>
      <c r="P49" s="225">
        <f t="shared" si="13"/>
        <v>5423432.0159887727</v>
      </c>
      <c r="Q49" s="225">
        <f t="shared" si="14"/>
        <v>13843428.493892347</v>
      </c>
      <c r="R49" s="61">
        <v>44</v>
      </c>
      <c r="S49" s="327">
        <f t="shared" si="19"/>
        <v>0</v>
      </c>
      <c r="T49" s="328">
        <f t="shared" si="20"/>
        <v>1151</v>
      </c>
      <c r="U49" s="328">
        <f t="shared" si="21"/>
        <v>61</v>
      </c>
      <c r="V49" s="328">
        <f t="shared" si="22"/>
        <v>71</v>
      </c>
      <c r="W49" s="328">
        <f t="shared" si="23"/>
        <v>102</v>
      </c>
      <c r="X49" s="328">
        <f t="shared" si="18"/>
        <v>0</v>
      </c>
      <c r="Y49" s="225">
        <f t="shared" si="15"/>
        <v>7687.8328753226124</v>
      </c>
      <c r="Z49" s="225">
        <f t="shared" si="16"/>
        <v>6719603.8284881292</v>
      </c>
      <c r="AA49" s="225">
        <f t="shared" si="17"/>
        <v>17087601.726667427</v>
      </c>
    </row>
    <row r="50" spans="1:27" x14ac:dyDescent="0.2">
      <c r="A50" s="103"/>
      <c r="B50" s="65"/>
      <c r="C50" s="65"/>
      <c r="D50" s="65"/>
      <c r="E50" s="49"/>
      <c r="F50" s="61"/>
      <c r="G50" s="61"/>
      <c r="H50" s="61">
        <v>45</v>
      </c>
      <c r="I50" s="239">
        <v>927</v>
      </c>
      <c r="J50" s="393">
        <v>88</v>
      </c>
      <c r="K50" s="393">
        <v>81</v>
      </c>
      <c r="L50" s="393">
        <v>71</v>
      </c>
      <c r="M50" s="393">
        <v>102</v>
      </c>
      <c r="N50" s="240">
        <v>116</v>
      </c>
      <c r="O50" s="225">
        <f t="shared" si="12"/>
        <v>6324.8705742716611</v>
      </c>
      <c r="P50" s="225">
        <f t="shared" si="13"/>
        <v>5423432.0159887727</v>
      </c>
      <c r="Q50" s="225">
        <f t="shared" si="14"/>
        <v>13843428.493892347</v>
      </c>
      <c r="R50" s="61">
        <v>45</v>
      </c>
      <c r="S50" s="327">
        <f t="shared" si="19"/>
        <v>0</v>
      </c>
      <c r="T50" s="328">
        <f t="shared" si="20"/>
        <v>1151</v>
      </c>
      <c r="U50" s="328">
        <f t="shared" si="21"/>
        <v>61</v>
      </c>
      <c r="V50" s="328">
        <f t="shared" si="22"/>
        <v>71</v>
      </c>
      <c r="W50" s="328">
        <f t="shared" si="23"/>
        <v>102</v>
      </c>
      <c r="X50" s="328">
        <f t="shared" si="18"/>
        <v>0</v>
      </c>
      <c r="Y50" s="225">
        <f t="shared" si="15"/>
        <v>7687.8328753226124</v>
      </c>
      <c r="Z50" s="225">
        <f t="shared" si="16"/>
        <v>6719603.8284881292</v>
      </c>
      <c r="AA50" s="225">
        <f t="shared" si="17"/>
        <v>17087601.726667427</v>
      </c>
    </row>
    <row r="51" spans="1:27" x14ac:dyDescent="0.2">
      <c r="A51" s="394" t="s">
        <v>216</v>
      </c>
      <c r="B51" s="394"/>
      <c r="C51" s="394"/>
      <c r="D51" s="394"/>
      <c r="G51" s="61"/>
      <c r="H51" s="61">
        <v>46</v>
      </c>
      <c r="I51" s="239">
        <v>927</v>
      </c>
      <c r="J51" s="393">
        <v>88</v>
      </c>
      <c r="K51" s="393">
        <v>81</v>
      </c>
      <c r="L51" s="393">
        <v>71</v>
      </c>
      <c r="M51" s="393">
        <v>102</v>
      </c>
      <c r="N51" s="240">
        <v>116</v>
      </c>
      <c r="O51" s="225">
        <f t="shared" si="12"/>
        <v>6324.8705742716611</v>
      </c>
      <c r="P51" s="225">
        <f t="shared" si="13"/>
        <v>5423432.0159887727</v>
      </c>
      <c r="Q51" s="225">
        <f t="shared" si="14"/>
        <v>13843428.493892347</v>
      </c>
      <c r="R51" s="61">
        <v>46</v>
      </c>
      <c r="S51" s="327">
        <f t="shared" si="19"/>
        <v>0</v>
      </c>
      <c r="T51" s="328">
        <f t="shared" si="20"/>
        <v>1151</v>
      </c>
      <c r="U51" s="328">
        <f t="shared" si="21"/>
        <v>61</v>
      </c>
      <c r="V51" s="328">
        <f t="shared" si="22"/>
        <v>71</v>
      </c>
      <c r="W51" s="328">
        <f t="shared" si="23"/>
        <v>102</v>
      </c>
      <c r="X51" s="328">
        <f t="shared" si="18"/>
        <v>0</v>
      </c>
      <c r="Y51" s="225">
        <f t="shared" si="15"/>
        <v>7687.8328753226124</v>
      </c>
      <c r="Z51" s="225">
        <f t="shared" si="16"/>
        <v>6719603.8284881292</v>
      </c>
      <c r="AA51" s="225">
        <f t="shared" si="17"/>
        <v>17087601.726667427</v>
      </c>
    </row>
    <row r="52" spans="1:27" x14ac:dyDescent="0.2">
      <c r="A52" s="395" t="str">
        <f>R1</f>
        <v>FC 2.0</v>
      </c>
      <c r="B52" s="395" t="s">
        <v>6</v>
      </c>
      <c r="C52" s="66" t="s">
        <v>215</v>
      </c>
      <c r="D52" s="66" t="s">
        <v>5</v>
      </c>
      <c r="G52" s="61"/>
      <c r="H52" s="61">
        <v>47</v>
      </c>
      <c r="I52" s="239">
        <v>927</v>
      </c>
      <c r="J52" s="393">
        <v>88</v>
      </c>
      <c r="K52" s="393">
        <v>81</v>
      </c>
      <c r="L52" s="393">
        <v>71</v>
      </c>
      <c r="M52" s="393">
        <v>102</v>
      </c>
      <c r="N52" s="240">
        <v>116</v>
      </c>
      <c r="O52" s="225">
        <f t="shared" si="12"/>
        <v>6324.8705742716611</v>
      </c>
      <c r="P52" s="225">
        <f t="shared" si="13"/>
        <v>5423432.0159887727</v>
      </c>
      <c r="Q52" s="225">
        <f t="shared" si="14"/>
        <v>13843428.493892347</v>
      </c>
      <c r="R52" s="61">
        <v>47</v>
      </c>
      <c r="S52" s="327">
        <f t="shared" si="19"/>
        <v>0</v>
      </c>
      <c r="T52" s="328">
        <f t="shared" si="20"/>
        <v>1151</v>
      </c>
      <c r="U52" s="328">
        <f t="shared" si="21"/>
        <v>61</v>
      </c>
      <c r="V52" s="328">
        <f t="shared" si="22"/>
        <v>71</v>
      </c>
      <c r="W52" s="328">
        <f t="shared" si="23"/>
        <v>102</v>
      </c>
      <c r="X52" s="328">
        <f t="shared" si="18"/>
        <v>0</v>
      </c>
      <c r="Y52" s="225">
        <f t="shared" si="15"/>
        <v>7687.8328753226124</v>
      </c>
      <c r="Z52" s="225">
        <f t="shared" si="16"/>
        <v>6719603.8284881292</v>
      </c>
      <c r="AA52" s="225">
        <f t="shared" si="17"/>
        <v>17087601.726667427</v>
      </c>
    </row>
    <row r="53" spans="1:27" x14ac:dyDescent="0.2">
      <c r="A53" s="217" t="s">
        <v>15</v>
      </c>
      <c r="B53" s="222">
        <f t="shared" ref="B53:D54" si="24">Y2-O2</f>
        <v>17734.928419124888</v>
      </c>
      <c r="C53" s="222">
        <f t="shared" si="24"/>
        <v>16865847.496910453</v>
      </c>
      <c r="D53" s="222">
        <f t="shared" si="24"/>
        <v>42213331.959470212</v>
      </c>
      <c r="H53" s="61">
        <v>48</v>
      </c>
      <c r="I53" s="239">
        <v>927</v>
      </c>
      <c r="J53" s="393">
        <v>88</v>
      </c>
      <c r="K53" s="393">
        <v>81</v>
      </c>
      <c r="L53" s="393">
        <v>71</v>
      </c>
      <c r="M53" s="393">
        <v>102</v>
      </c>
      <c r="N53" s="240">
        <v>116</v>
      </c>
      <c r="O53" s="225">
        <f t="shared" si="12"/>
        <v>6324.8705742716611</v>
      </c>
      <c r="P53" s="225">
        <f t="shared" si="13"/>
        <v>5423432.0159887727</v>
      </c>
      <c r="Q53" s="225">
        <f t="shared" si="14"/>
        <v>13843428.493892347</v>
      </c>
      <c r="R53" s="61">
        <v>48</v>
      </c>
      <c r="S53" s="327">
        <f t="shared" si="19"/>
        <v>0</v>
      </c>
      <c r="T53" s="328">
        <f t="shared" si="20"/>
        <v>1151</v>
      </c>
      <c r="U53" s="328">
        <f t="shared" si="21"/>
        <v>61</v>
      </c>
      <c r="V53" s="328">
        <f t="shared" si="22"/>
        <v>71</v>
      </c>
      <c r="W53" s="328">
        <f t="shared" si="23"/>
        <v>102</v>
      </c>
      <c r="X53" s="328">
        <f t="shared" si="18"/>
        <v>0</v>
      </c>
      <c r="Y53" s="225">
        <f t="shared" si="15"/>
        <v>7687.8328753226124</v>
      </c>
      <c r="Z53" s="225">
        <f t="shared" si="16"/>
        <v>6719603.8284881292</v>
      </c>
      <c r="AA53" s="225">
        <f t="shared" si="17"/>
        <v>17087601.726667427</v>
      </c>
    </row>
    <row r="54" spans="1:27" x14ac:dyDescent="0.2">
      <c r="A54" s="217" t="s">
        <v>51</v>
      </c>
      <c r="B54" s="222">
        <f t="shared" si="24"/>
        <v>739.14319431943386</v>
      </c>
      <c r="C54" s="222">
        <f t="shared" si="24"/>
        <v>702922.28415917978</v>
      </c>
      <c r="D54" s="222">
        <f t="shared" si="24"/>
        <v>1759335.9437381402</v>
      </c>
      <c r="E54" s="49"/>
      <c r="H54" s="61">
        <v>49</v>
      </c>
      <c r="I54" s="239">
        <v>927</v>
      </c>
      <c r="J54" s="393">
        <v>88</v>
      </c>
      <c r="K54" s="393">
        <v>81</v>
      </c>
      <c r="L54" s="393">
        <v>71</v>
      </c>
      <c r="M54" s="393">
        <v>102</v>
      </c>
      <c r="N54" s="240">
        <v>116</v>
      </c>
      <c r="O54" s="225">
        <f t="shared" si="12"/>
        <v>6324.8705742716611</v>
      </c>
      <c r="P54" s="225">
        <f t="shared" si="13"/>
        <v>5423432.0159887727</v>
      </c>
      <c r="Q54" s="225">
        <f t="shared" si="14"/>
        <v>13843428.493892347</v>
      </c>
      <c r="R54" s="61">
        <v>49</v>
      </c>
      <c r="S54" s="327">
        <f t="shared" si="19"/>
        <v>0</v>
      </c>
      <c r="T54" s="328">
        <f t="shared" si="20"/>
        <v>1151</v>
      </c>
      <c r="U54" s="328">
        <f t="shared" si="21"/>
        <v>61</v>
      </c>
      <c r="V54" s="328">
        <f t="shared" si="22"/>
        <v>71</v>
      </c>
      <c r="W54" s="328">
        <f t="shared" si="23"/>
        <v>102</v>
      </c>
      <c r="X54" s="328">
        <f t="shared" si="18"/>
        <v>0</v>
      </c>
      <c r="Y54" s="225">
        <f t="shared" si="15"/>
        <v>7687.8328753226124</v>
      </c>
      <c r="Z54" s="225">
        <f t="shared" si="16"/>
        <v>6719603.8284881292</v>
      </c>
      <c r="AA54" s="225">
        <f t="shared" si="17"/>
        <v>17087601.726667427</v>
      </c>
    </row>
    <row r="55" spans="1:27" x14ac:dyDescent="0.2">
      <c r="A55" s="390"/>
      <c r="B55" s="391"/>
      <c r="C55" s="391"/>
      <c r="D55" s="391"/>
      <c r="E55" s="49"/>
      <c r="H55" s="61">
        <v>50</v>
      </c>
      <c r="I55" s="239">
        <v>927</v>
      </c>
      <c r="J55" s="393">
        <v>88</v>
      </c>
      <c r="K55" s="393">
        <v>81</v>
      </c>
      <c r="L55" s="393">
        <v>71</v>
      </c>
      <c r="M55" s="393">
        <v>102</v>
      </c>
      <c r="N55" s="240">
        <v>116</v>
      </c>
      <c r="O55" s="225">
        <f t="shared" si="12"/>
        <v>6324.8705742716611</v>
      </c>
      <c r="P55" s="225">
        <f t="shared" si="13"/>
        <v>5423432.0159887727</v>
      </c>
      <c r="Q55" s="225">
        <f t="shared" si="14"/>
        <v>13843428.493892347</v>
      </c>
      <c r="R55" s="61">
        <v>50</v>
      </c>
      <c r="S55" s="327">
        <f t="shared" si="19"/>
        <v>0</v>
      </c>
      <c r="T55" s="328">
        <f t="shared" si="20"/>
        <v>1151</v>
      </c>
      <c r="U55" s="328">
        <f t="shared" si="21"/>
        <v>61</v>
      </c>
      <c r="V55" s="328">
        <f t="shared" si="22"/>
        <v>71</v>
      </c>
      <c r="W55" s="328">
        <f t="shared" si="23"/>
        <v>102</v>
      </c>
      <c r="X55" s="328">
        <f t="shared" si="18"/>
        <v>0</v>
      </c>
      <c r="Y55" s="225">
        <f t="shared" si="15"/>
        <v>7687.8328753226124</v>
      </c>
      <c r="Z55" s="225">
        <f t="shared" si="16"/>
        <v>6719603.8284881292</v>
      </c>
      <c r="AA55" s="225">
        <f t="shared" si="17"/>
        <v>17087601.726667427</v>
      </c>
    </row>
    <row r="56" spans="1:27" x14ac:dyDescent="0.2">
      <c r="A56" s="395"/>
      <c r="B56" s="395"/>
      <c r="C56" s="66"/>
      <c r="D56" s="66"/>
    </row>
    <row r="57" spans="1:27" x14ac:dyDescent="0.2">
      <c r="A57" s="390"/>
      <c r="B57" s="391"/>
      <c r="C57" s="391"/>
      <c r="D57" s="391"/>
    </row>
    <row r="58" spans="1:27" x14ac:dyDescent="0.2">
      <c r="A58" s="390"/>
      <c r="B58" s="391"/>
      <c r="C58" s="391"/>
      <c r="D58" s="391"/>
    </row>
  </sheetData>
  <phoneticPr fontId="33" type="noConversion"/>
  <pageMargins left="0.5" right="0.5" top="1" bottom="1" header="0.5" footer="0.5"/>
  <pageSetup orientation="portrait" horizontalDpi="4294967292" verticalDpi="4294967292" r:id="rId1"/>
  <headerFooter>
    <oddHeader>&amp;C&amp;"-,Bold"Benefits: Environmental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workbookViewId="0">
      <selection activeCell="D28" sqref="D28"/>
    </sheetView>
  </sheetViews>
  <sheetFormatPr defaultColWidth="11" defaultRowHeight="15.75" x14ac:dyDescent="0.25"/>
  <cols>
    <col min="1" max="1" width="14" bestFit="1" customWidth="1"/>
    <col min="2" max="2" width="13.125" bestFit="1" customWidth="1"/>
    <col min="3" max="3" width="15.375" bestFit="1" customWidth="1"/>
    <col min="4" max="4" width="13" bestFit="1" customWidth="1"/>
  </cols>
  <sheetData>
    <row r="3" spans="1:4" s="3" customFormat="1" x14ac:dyDescent="0.25">
      <c r="A3" s="467"/>
      <c r="B3" s="467" t="s">
        <v>253</v>
      </c>
      <c r="C3" s="467" t="s">
        <v>254</v>
      </c>
    </row>
    <row r="4" spans="1:4" x14ac:dyDescent="0.25">
      <c r="A4" s="446" t="s">
        <v>255</v>
      </c>
      <c r="B4" s="447">
        <v>3473</v>
      </c>
      <c r="C4" s="447">
        <v>900</v>
      </c>
      <c r="D4" t="s">
        <v>256</v>
      </c>
    </row>
    <row r="5" spans="1:4" x14ac:dyDescent="0.25">
      <c r="A5" s="145" t="s">
        <v>257</v>
      </c>
      <c r="B5" s="448">
        <v>5.5279999999999996</v>
      </c>
      <c r="C5" s="448">
        <v>5.5279999999999996</v>
      </c>
      <c r="D5" t="s">
        <v>258</v>
      </c>
    </row>
    <row r="6" spans="1:4" x14ac:dyDescent="0.25">
      <c r="A6" s="145" t="s">
        <v>259</v>
      </c>
      <c r="B6" s="449">
        <f>B4*B5</f>
        <v>19198.743999999999</v>
      </c>
      <c r="C6" s="449">
        <f>C4*C5</f>
        <v>4975.2</v>
      </c>
      <c r="D6" t="s">
        <v>260</v>
      </c>
    </row>
    <row r="7" spans="1:4" x14ac:dyDescent="0.25">
      <c r="A7" s="450" t="s">
        <v>261</v>
      </c>
      <c r="B7" s="451">
        <v>112.44325343298677</v>
      </c>
      <c r="C7" s="451">
        <v>112.44325343298677</v>
      </c>
      <c r="D7" t="s">
        <v>262</v>
      </c>
    </row>
    <row r="8" spans="1:4" s="3" customFormat="1" x14ac:dyDescent="0.25">
      <c r="A8" s="3" t="s">
        <v>263</v>
      </c>
      <c r="B8" s="452">
        <f>B6*B7</f>
        <v>2158769.237187034</v>
      </c>
      <c r="C8" s="452">
        <f>C6*C7</f>
        <v>559427.67447979574</v>
      </c>
    </row>
    <row r="11" spans="1:4" x14ac:dyDescent="0.25">
      <c r="A11" s="468"/>
      <c r="B11" s="469" t="s">
        <v>264</v>
      </c>
      <c r="C11" s="470" t="s">
        <v>265</v>
      </c>
    </row>
    <row r="12" spans="1:4" hidden="1" x14ac:dyDescent="0.25">
      <c r="A12" s="457">
        <v>2010</v>
      </c>
      <c r="B12" s="145">
        <v>125</v>
      </c>
      <c r="C12" s="464">
        <v>5.61</v>
      </c>
    </row>
    <row r="13" spans="1:4" hidden="1" x14ac:dyDescent="0.25">
      <c r="A13" s="457">
        <v>2011</v>
      </c>
      <c r="B13" s="145">
        <v>224</v>
      </c>
      <c r="C13" s="464">
        <v>5.66</v>
      </c>
    </row>
    <row r="14" spans="1:4" hidden="1" x14ac:dyDescent="0.25">
      <c r="A14" s="457">
        <v>2012</v>
      </c>
      <c r="B14" s="145">
        <v>204</v>
      </c>
      <c r="C14" s="464">
        <v>5.42</v>
      </c>
    </row>
    <row r="15" spans="1:4" hidden="1" x14ac:dyDescent="0.25">
      <c r="A15" s="457">
        <v>2013</v>
      </c>
      <c r="B15" s="145">
        <v>199</v>
      </c>
      <c r="C15" s="464">
        <v>5.58</v>
      </c>
    </row>
    <row r="16" spans="1:4" hidden="1" x14ac:dyDescent="0.25">
      <c r="A16" s="457">
        <v>2014</v>
      </c>
      <c r="B16" s="145">
        <v>235</v>
      </c>
      <c r="C16" s="464">
        <v>5.37</v>
      </c>
    </row>
    <row r="17" spans="1:5" x14ac:dyDescent="0.25">
      <c r="A17" s="457" t="s">
        <v>266</v>
      </c>
      <c r="B17" s="145">
        <f>AVERAGE(B12:B16)</f>
        <v>197.4</v>
      </c>
      <c r="C17" s="464">
        <f>AVERAGE(C12:C16)</f>
        <v>5.5279999999999996</v>
      </c>
    </row>
    <row r="18" spans="1:5" x14ac:dyDescent="0.25">
      <c r="A18" s="460" t="s">
        <v>267</v>
      </c>
      <c r="B18" s="465">
        <v>26.374943296617076</v>
      </c>
      <c r="C18" s="466">
        <v>0.11267652816802627</v>
      </c>
    </row>
    <row r="20" spans="1:5" x14ac:dyDescent="0.25">
      <c r="C20" s="453" t="s">
        <v>15</v>
      </c>
      <c r="D20" s="453" t="s">
        <v>15</v>
      </c>
    </row>
    <row r="21" spans="1:5" x14ac:dyDescent="0.25">
      <c r="A21" s="454" t="s">
        <v>268</v>
      </c>
      <c r="B21" s="455" t="s">
        <v>14</v>
      </c>
      <c r="C21" s="456" t="s">
        <v>269</v>
      </c>
      <c r="D21" s="456" t="s">
        <v>270</v>
      </c>
    </row>
    <row r="22" spans="1:5" x14ac:dyDescent="0.25">
      <c r="A22" s="457" t="s">
        <v>6</v>
      </c>
      <c r="B22" s="458">
        <f>C4*(C5-C18)*(C7-B18)</f>
        <v>419478.96605615685</v>
      </c>
      <c r="C22" s="459">
        <f>B22*23.99</f>
        <v>10063300.395687202</v>
      </c>
      <c r="D22" s="459">
        <f>NPV(0.0375,B22,B22,B22,B22,B22)</f>
        <v>1880634.0283197016</v>
      </c>
      <c r="E22" s="463" t="s">
        <v>69</v>
      </c>
    </row>
    <row r="23" spans="1:5" x14ac:dyDescent="0.25">
      <c r="A23" s="457" t="s">
        <v>4</v>
      </c>
      <c r="B23" s="458">
        <f>C8</f>
        <v>559427.67447979574</v>
      </c>
      <c r="C23" s="459">
        <f>B23*23.99</f>
        <v>13420669.910770299</v>
      </c>
      <c r="D23" s="459">
        <f>NPV(0.0375,B23,B23,B23,B23,B23)</f>
        <v>2508060.7280547558</v>
      </c>
      <c r="E23" t="s">
        <v>271</v>
      </c>
    </row>
    <row r="24" spans="1:5" x14ac:dyDescent="0.25">
      <c r="A24" s="460" t="s">
        <v>5</v>
      </c>
      <c r="B24" s="461">
        <f>C4*(C5+C18)*(C7+B18)</f>
        <v>704725.68957775901</v>
      </c>
      <c r="C24" s="462">
        <f>B24*23.99</f>
        <v>16906369.292970438</v>
      </c>
      <c r="D24" s="462">
        <f>NPV(0.0375,B24,B24,B24,B24,B24)</f>
        <v>3159469.7701089848</v>
      </c>
      <c r="E24" s="463" t="s">
        <v>272</v>
      </c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view="pageLayout" zoomScale="89" workbookViewId="0">
      <selection activeCell="E49" sqref="E49"/>
    </sheetView>
  </sheetViews>
  <sheetFormatPr defaultColWidth="10.875" defaultRowHeight="15" outlineLevelRow="1" x14ac:dyDescent="0.25"/>
  <cols>
    <col min="1" max="1" width="39.125" style="34" customWidth="1"/>
    <col min="2" max="2" width="22.875" style="34" bestFit="1" customWidth="1"/>
    <col min="3" max="3" width="4" style="1" customWidth="1"/>
    <col min="4" max="4" width="44" style="1" bestFit="1" customWidth="1"/>
    <col min="5" max="5" width="12.375" style="1" bestFit="1" customWidth="1"/>
    <col min="6" max="6" width="12" style="34" bestFit="1" customWidth="1"/>
    <col min="7" max="7" width="12" style="99" bestFit="1" customWidth="1"/>
    <col min="8" max="8" width="44" style="1" bestFit="1" customWidth="1"/>
    <col min="9" max="9" width="12.125" style="1" customWidth="1"/>
    <col min="10" max="10" width="12.125" style="34" customWidth="1"/>
    <col min="11" max="11" width="12" style="99" customWidth="1"/>
    <col min="12" max="12" width="11.625" style="99" customWidth="1"/>
    <col min="13" max="16384" width="10.875" style="34"/>
  </cols>
  <sheetData>
    <row r="1" spans="1:12" s="3" customFormat="1" ht="15.75" x14ac:dyDescent="0.25">
      <c r="A1" s="17" t="s">
        <v>214</v>
      </c>
      <c r="B1" s="17" t="s">
        <v>191</v>
      </c>
      <c r="C1" s="17"/>
      <c r="D1" s="17" t="s">
        <v>214</v>
      </c>
      <c r="E1" s="17" t="str">
        <f>Project_Master!B14</f>
        <v>FC 1.0/No Action</v>
      </c>
      <c r="G1" s="133"/>
      <c r="H1" s="17" t="s">
        <v>214</v>
      </c>
      <c r="I1" s="17" t="str">
        <f>Project_Master!B15</f>
        <v>FC 2.0</v>
      </c>
      <c r="K1" s="133"/>
      <c r="L1" s="133"/>
    </row>
    <row r="2" spans="1:12" x14ac:dyDescent="0.25">
      <c r="B2" s="142"/>
      <c r="D2" s="34" t="s">
        <v>52</v>
      </c>
      <c r="E2" s="138">
        <f>Benefits_FloodRisk!B2</f>
        <v>3.3750000000000002E-2</v>
      </c>
      <c r="G2" s="136"/>
      <c r="H2" s="34" t="s">
        <v>52</v>
      </c>
      <c r="I2" s="138">
        <f>Benefits_FloodRisk!B2</f>
        <v>3.3750000000000002E-2</v>
      </c>
    </row>
    <row r="3" spans="1:12" x14ac:dyDescent="0.25">
      <c r="B3" s="142"/>
      <c r="D3" s="34" t="s">
        <v>145</v>
      </c>
      <c r="E3" s="185">
        <f>Project_Master!C6</f>
        <v>50</v>
      </c>
      <c r="G3" s="136"/>
      <c r="H3" s="34" t="s">
        <v>145</v>
      </c>
      <c r="I3" s="185">
        <f>E3</f>
        <v>50</v>
      </c>
    </row>
    <row r="4" spans="1:12" x14ac:dyDescent="0.25">
      <c r="A4" s="32"/>
      <c r="B4" s="142"/>
      <c r="D4" s="32"/>
      <c r="E4" s="142"/>
      <c r="G4" s="136"/>
      <c r="H4" s="32"/>
      <c r="I4" s="142"/>
    </row>
    <row r="5" spans="1:12" x14ac:dyDescent="0.25">
      <c r="E5" s="98" t="s">
        <v>123</v>
      </c>
      <c r="F5" s="99"/>
      <c r="G5" s="71" t="s">
        <v>124</v>
      </c>
      <c r="I5" s="98" t="s">
        <v>123</v>
      </c>
      <c r="J5" s="99"/>
      <c r="K5" s="71" t="s">
        <v>124</v>
      </c>
    </row>
    <row r="6" spans="1:12" x14ac:dyDescent="0.25">
      <c r="A6" s="40"/>
      <c r="B6" s="40"/>
      <c r="C6" s="40"/>
      <c r="D6" s="40" t="s">
        <v>126</v>
      </c>
      <c r="E6" s="231">
        <v>-0.1</v>
      </c>
      <c r="F6" s="132"/>
      <c r="G6" s="232">
        <v>0.3</v>
      </c>
      <c r="H6" s="40" t="s">
        <v>126</v>
      </c>
      <c r="I6" s="134">
        <f>E6</f>
        <v>-0.1</v>
      </c>
      <c r="J6" s="132"/>
      <c r="K6" s="135">
        <f>G6</f>
        <v>0.3</v>
      </c>
    </row>
    <row r="7" spans="1:12" hidden="1" outlineLevel="1" x14ac:dyDescent="0.25">
      <c r="D7" s="34"/>
      <c r="E7" s="34"/>
      <c r="F7" s="99"/>
      <c r="H7" s="34"/>
      <c r="I7" s="34"/>
      <c r="J7" s="99"/>
    </row>
    <row r="8" spans="1:12" s="32" customFormat="1" hidden="1" outlineLevel="1" x14ac:dyDescent="0.25">
      <c r="A8" s="32" t="s">
        <v>25</v>
      </c>
      <c r="B8" s="32" t="s">
        <v>188</v>
      </c>
      <c r="C8" s="2"/>
      <c r="D8" s="32" t="s">
        <v>25</v>
      </c>
      <c r="H8" s="32" t="s">
        <v>25</v>
      </c>
      <c r="K8" s="115"/>
    </row>
    <row r="9" spans="1:12" hidden="1" outlineLevel="1" x14ac:dyDescent="0.25">
      <c r="A9" s="33" t="s">
        <v>26</v>
      </c>
      <c r="B9" s="233">
        <v>500000</v>
      </c>
      <c r="C9" s="38"/>
      <c r="D9" s="33" t="s">
        <v>26</v>
      </c>
      <c r="E9" s="236"/>
      <c r="F9" s="233">
        <f>B9</f>
        <v>500000</v>
      </c>
      <c r="G9" s="236"/>
      <c r="H9" s="33" t="s">
        <v>26</v>
      </c>
      <c r="I9" s="236"/>
      <c r="J9" s="233">
        <f>F9</f>
        <v>500000</v>
      </c>
      <c r="K9" s="236"/>
    </row>
    <row r="10" spans="1:12" hidden="1" outlineLevel="1" x14ac:dyDescent="0.25">
      <c r="A10" s="35" t="s">
        <v>27</v>
      </c>
      <c r="B10" s="234">
        <v>55000</v>
      </c>
      <c r="C10" s="38"/>
      <c r="D10" s="35" t="s">
        <v>27</v>
      </c>
      <c r="E10" s="237"/>
      <c r="F10" s="234">
        <f>B10</f>
        <v>55000</v>
      </c>
      <c r="G10" s="237"/>
      <c r="H10" s="35" t="s">
        <v>27</v>
      </c>
      <c r="I10" s="237"/>
      <c r="J10" s="234">
        <f>F10</f>
        <v>55000</v>
      </c>
      <c r="K10" s="237"/>
    </row>
    <row r="11" spans="1:12" s="32" customFormat="1" collapsed="1" x14ac:dyDescent="0.25">
      <c r="A11" s="32" t="s">
        <v>28</v>
      </c>
      <c r="B11" s="111">
        <f>SUM(B9:B10)</f>
        <v>555000</v>
      </c>
      <c r="C11" s="114"/>
      <c r="D11" s="32" t="s">
        <v>28</v>
      </c>
      <c r="E11" s="111"/>
      <c r="F11" s="111">
        <f>SUM(F9:F10)</f>
        <v>555000</v>
      </c>
      <c r="G11" s="111"/>
      <c r="H11" s="32" t="s">
        <v>28</v>
      </c>
      <c r="I11" s="111"/>
      <c r="J11" s="111">
        <f>SUM(J9:J10)</f>
        <v>555000</v>
      </c>
      <c r="K11" s="111"/>
    </row>
    <row r="12" spans="1:12" hidden="1" outlineLevel="1" x14ac:dyDescent="0.25">
      <c r="B12" s="37"/>
      <c r="D12" s="34"/>
      <c r="E12" s="37"/>
      <c r="F12" s="37"/>
      <c r="G12" s="37"/>
      <c r="H12" s="34"/>
      <c r="I12" s="34"/>
      <c r="K12" s="34"/>
    </row>
    <row r="13" spans="1:12" s="32" customFormat="1" hidden="1" outlineLevel="1" x14ac:dyDescent="0.25">
      <c r="A13" s="32" t="s">
        <v>29</v>
      </c>
      <c r="B13" s="36" t="s">
        <v>189</v>
      </c>
      <c r="C13" s="2"/>
      <c r="D13" s="32" t="s">
        <v>29</v>
      </c>
      <c r="E13" s="36"/>
      <c r="F13" s="36"/>
      <c r="G13" s="36"/>
      <c r="H13" s="32" t="s">
        <v>29</v>
      </c>
    </row>
    <row r="14" spans="1:12" hidden="1" outlineLevel="1" x14ac:dyDescent="0.25">
      <c r="A14" s="33" t="s">
        <v>30</v>
      </c>
      <c r="B14" s="233">
        <v>6250</v>
      </c>
      <c r="C14" s="38"/>
      <c r="D14" s="33" t="s">
        <v>30</v>
      </c>
      <c r="E14" s="236"/>
      <c r="F14" s="233">
        <f t="shared" ref="F14:F17" si="0">B14</f>
        <v>6250</v>
      </c>
      <c r="G14" s="236"/>
      <c r="H14" s="33" t="s">
        <v>30</v>
      </c>
      <c r="I14" s="236"/>
      <c r="J14" s="233">
        <f t="shared" ref="J14:J15" si="1">F14/2</f>
        <v>3125</v>
      </c>
      <c r="K14" s="236"/>
    </row>
    <row r="15" spans="1:12" hidden="1" outlineLevel="1" x14ac:dyDescent="0.25">
      <c r="A15" s="1" t="s">
        <v>31</v>
      </c>
      <c r="B15" s="235">
        <v>3000</v>
      </c>
      <c r="C15" s="38"/>
      <c r="D15" s="1" t="s">
        <v>31</v>
      </c>
      <c r="E15" s="238"/>
      <c r="F15" s="235">
        <f t="shared" si="0"/>
        <v>3000</v>
      </c>
      <c r="G15" s="238"/>
      <c r="H15" s="1" t="s">
        <v>31</v>
      </c>
      <c r="I15" s="238"/>
      <c r="J15" s="235">
        <f t="shared" si="1"/>
        <v>1500</v>
      </c>
      <c r="K15" s="238"/>
    </row>
    <row r="16" spans="1:12" hidden="1" outlineLevel="1" x14ac:dyDescent="0.25">
      <c r="A16" s="1" t="s">
        <v>32</v>
      </c>
      <c r="B16" s="235">
        <v>375000</v>
      </c>
      <c r="C16" s="38"/>
      <c r="D16" s="1" t="s">
        <v>32</v>
      </c>
      <c r="E16" s="238"/>
      <c r="F16" s="235">
        <f t="shared" si="0"/>
        <v>375000</v>
      </c>
      <c r="G16" s="238"/>
      <c r="H16" s="1" t="s">
        <v>32</v>
      </c>
      <c r="I16" s="238"/>
      <c r="J16" s="235">
        <f>F16/2</f>
        <v>187500</v>
      </c>
      <c r="K16" s="238"/>
    </row>
    <row r="17" spans="1:11" hidden="1" outlineLevel="1" x14ac:dyDescent="0.25">
      <c r="A17" s="35" t="s">
        <v>33</v>
      </c>
      <c r="B17" s="234">
        <v>5000</v>
      </c>
      <c r="C17" s="38"/>
      <c r="D17" s="35" t="s">
        <v>33</v>
      </c>
      <c r="E17" s="237"/>
      <c r="F17" s="234">
        <f t="shared" si="0"/>
        <v>5000</v>
      </c>
      <c r="G17" s="237"/>
      <c r="H17" s="35" t="s">
        <v>33</v>
      </c>
      <c r="I17" s="237"/>
      <c r="J17" s="234">
        <f>F17/2</f>
        <v>2500</v>
      </c>
      <c r="K17" s="237"/>
    </row>
    <row r="18" spans="1:11" s="32" customFormat="1" collapsed="1" x14ac:dyDescent="0.25">
      <c r="A18" s="32" t="s">
        <v>34</v>
      </c>
      <c r="B18" s="111">
        <f>SUM(B14:B17)</f>
        <v>389250</v>
      </c>
      <c r="C18" s="114"/>
      <c r="D18" s="32" t="s">
        <v>34</v>
      </c>
      <c r="E18" s="111"/>
      <c r="F18" s="111">
        <f>SUM(F14:F17)</f>
        <v>389250</v>
      </c>
      <c r="G18" s="111"/>
      <c r="H18" s="32" t="s">
        <v>34</v>
      </c>
      <c r="I18" s="111"/>
      <c r="J18" s="111">
        <f>SUM(J14:J17)</f>
        <v>194625</v>
      </c>
      <c r="K18" s="111"/>
    </row>
    <row r="19" spans="1:11" hidden="1" outlineLevel="1" x14ac:dyDescent="0.25">
      <c r="B19" s="37"/>
      <c r="D19" s="34"/>
      <c r="E19" s="37"/>
      <c r="F19" s="37"/>
      <c r="G19" s="37"/>
      <c r="H19" s="34"/>
      <c r="I19" s="34"/>
      <c r="K19" s="34"/>
    </row>
    <row r="20" spans="1:11" s="32" customFormat="1" hidden="1" outlineLevel="1" x14ac:dyDescent="0.25">
      <c r="A20" s="32" t="s">
        <v>35</v>
      </c>
      <c r="B20" s="36"/>
      <c r="C20" s="2"/>
      <c r="D20" s="32" t="s">
        <v>35</v>
      </c>
      <c r="E20" s="36"/>
      <c r="F20" s="36"/>
      <c r="G20" s="36"/>
      <c r="H20" s="32" t="s">
        <v>35</v>
      </c>
    </row>
    <row r="21" spans="1:11" hidden="1" outlineLevel="1" x14ac:dyDescent="0.25">
      <c r="A21" s="33" t="s">
        <v>36</v>
      </c>
      <c r="B21" s="233">
        <v>100000</v>
      </c>
      <c r="C21" s="38"/>
      <c r="D21" s="33" t="s">
        <v>36</v>
      </c>
      <c r="E21" s="236"/>
      <c r="F21" s="233">
        <f t="shared" ref="F21:F22" si="2">B21</f>
        <v>100000</v>
      </c>
      <c r="G21" s="236"/>
      <c r="H21" s="33" t="s">
        <v>36</v>
      </c>
      <c r="I21" s="236"/>
      <c r="J21" s="233">
        <v>26000</v>
      </c>
      <c r="K21" s="236"/>
    </row>
    <row r="22" spans="1:11" hidden="1" outlineLevel="1" x14ac:dyDescent="0.25">
      <c r="A22" s="35" t="s">
        <v>118</v>
      </c>
      <c r="B22" s="234">
        <v>0</v>
      </c>
      <c r="C22" s="38"/>
      <c r="D22" s="35" t="s">
        <v>118</v>
      </c>
      <c r="E22" s="237"/>
      <c r="F22" s="234">
        <f t="shared" si="2"/>
        <v>0</v>
      </c>
      <c r="G22" s="237"/>
      <c r="H22" s="35" t="s">
        <v>252</v>
      </c>
      <c r="I22" s="237"/>
      <c r="J22" s="234">
        <v>72000</v>
      </c>
      <c r="K22" s="237"/>
    </row>
    <row r="23" spans="1:11" s="32" customFormat="1" collapsed="1" x14ac:dyDescent="0.25">
      <c r="A23" s="32" t="s">
        <v>37</v>
      </c>
      <c r="B23" s="111">
        <f>SUM(B21:B22)</f>
        <v>100000</v>
      </c>
      <c r="C23" s="114"/>
      <c r="D23" s="32" t="s">
        <v>37</v>
      </c>
      <c r="E23" s="111"/>
      <c r="F23" s="111">
        <f>SUM(F21:F22)</f>
        <v>100000</v>
      </c>
      <c r="G23" s="111"/>
      <c r="H23" s="32" t="s">
        <v>37</v>
      </c>
      <c r="I23" s="111"/>
      <c r="J23" s="111">
        <f>SUM(J21:J22)</f>
        <v>98000</v>
      </c>
      <c r="K23" s="111"/>
    </row>
    <row r="24" spans="1:11" hidden="1" outlineLevel="1" x14ac:dyDescent="0.25">
      <c r="B24" s="37"/>
      <c r="D24" s="34"/>
      <c r="E24" s="37"/>
      <c r="F24" s="37"/>
      <c r="G24" s="37"/>
      <c r="H24" s="34"/>
      <c r="I24" s="34"/>
      <c r="K24" s="34"/>
    </row>
    <row r="25" spans="1:11" s="32" customFormat="1" hidden="1" outlineLevel="1" x14ac:dyDescent="0.25">
      <c r="A25" s="32" t="s">
        <v>38</v>
      </c>
      <c r="B25" s="36"/>
      <c r="C25" s="2"/>
      <c r="D25" s="32" t="s">
        <v>38</v>
      </c>
      <c r="E25" s="36"/>
      <c r="F25" s="36"/>
      <c r="G25" s="36"/>
      <c r="H25" s="32" t="s">
        <v>38</v>
      </c>
    </row>
    <row r="26" spans="1:11" hidden="1" outlineLevel="1" x14ac:dyDescent="0.25">
      <c r="A26" s="33" t="s">
        <v>39</v>
      </c>
      <c r="B26" s="233">
        <v>25000</v>
      </c>
      <c r="C26" s="38"/>
      <c r="D26" s="33" t="s">
        <v>39</v>
      </c>
      <c r="E26" s="236"/>
      <c r="F26" s="233">
        <v>26000</v>
      </c>
      <c r="G26" s="236"/>
      <c r="H26" s="33" t="s">
        <v>39</v>
      </c>
      <c r="I26" s="236"/>
      <c r="J26" s="233">
        <v>7500</v>
      </c>
      <c r="K26" s="236"/>
    </row>
    <row r="27" spans="1:11" hidden="1" outlineLevel="1" x14ac:dyDescent="0.25">
      <c r="A27" s="35" t="s">
        <v>40</v>
      </c>
      <c r="B27" s="234">
        <v>7500</v>
      </c>
      <c r="C27" s="38"/>
      <c r="D27" s="35" t="s">
        <v>40</v>
      </c>
      <c r="E27" s="237"/>
      <c r="F27" s="234">
        <f t="shared" ref="F27" si="3">B27</f>
        <v>7500</v>
      </c>
      <c r="G27" s="237"/>
      <c r="H27" s="35" t="s">
        <v>40</v>
      </c>
      <c r="I27" s="237"/>
      <c r="J27" s="234">
        <v>7500</v>
      </c>
      <c r="K27" s="237"/>
    </row>
    <row r="28" spans="1:11" s="32" customFormat="1" collapsed="1" x14ac:dyDescent="0.25">
      <c r="A28" s="32" t="s">
        <v>41</v>
      </c>
      <c r="B28" s="111">
        <f>SUM(B26:B27)</f>
        <v>32500</v>
      </c>
      <c r="C28" s="114"/>
      <c r="D28" s="32" t="s">
        <v>41</v>
      </c>
      <c r="E28" s="111"/>
      <c r="F28" s="111">
        <f>SUM(F26:F27)</f>
        <v>33500</v>
      </c>
      <c r="G28" s="111"/>
      <c r="H28" s="32" t="s">
        <v>41</v>
      </c>
      <c r="I28" s="111"/>
      <c r="J28" s="111">
        <f>SUM(J26:J27)</f>
        <v>15000</v>
      </c>
      <c r="K28" s="111"/>
    </row>
    <row r="29" spans="1:11" hidden="1" outlineLevel="1" x14ac:dyDescent="0.25">
      <c r="B29" s="37"/>
      <c r="D29" s="34"/>
      <c r="E29" s="37"/>
      <c r="F29" s="37"/>
      <c r="G29" s="37"/>
      <c r="H29" s="34"/>
      <c r="I29" s="112"/>
      <c r="J29" s="112"/>
      <c r="K29" s="112"/>
    </row>
    <row r="30" spans="1:11" s="32" customFormat="1" hidden="1" outlineLevel="1" x14ac:dyDescent="0.25">
      <c r="A30" s="32" t="s">
        <v>42</v>
      </c>
      <c r="B30" s="36" t="s">
        <v>188</v>
      </c>
      <c r="C30" s="2"/>
      <c r="D30" s="32" t="s">
        <v>42</v>
      </c>
      <c r="E30" s="36"/>
      <c r="F30" s="36"/>
      <c r="G30" s="36"/>
      <c r="H30" s="32" t="s">
        <v>42</v>
      </c>
    </row>
    <row r="31" spans="1:11" hidden="1" outlineLevel="1" x14ac:dyDescent="0.25">
      <c r="A31" s="33" t="s">
        <v>119</v>
      </c>
      <c r="B31" s="233">
        <v>150000</v>
      </c>
      <c r="C31" s="38"/>
      <c r="D31" s="33" t="s">
        <v>119</v>
      </c>
      <c r="E31" s="236"/>
      <c r="F31" s="233">
        <f t="shared" ref="F31:F35" si="4">B31</f>
        <v>150000</v>
      </c>
      <c r="G31" s="236"/>
      <c r="H31" s="33" t="s">
        <v>119</v>
      </c>
      <c r="I31" s="236"/>
      <c r="J31" s="233">
        <v>105000</v>
      </c>
      <c r="K31" s="236"/>
    </row>
    <row r="32" spans="1:11" hidden="1" outlineLevel="1" x14ac:dyDescent="0.25">
      <c r="A32" s="1" t="s">
        <v>43</v>
      </c>
      <c r="B32" s="235">
        <v>25000</v>
      </c>
      <c r="C32" s="38"/>
      <c r="D32" s="1" t="s">
        <v>43</v>
      </c>
      <c r="E32" s="238"/>
      <c r="F32" s="235">
        <v>26000</v>
      </c>
      <c r="G32" s="238"/>
      <c r="H32" s="1" t="s">
        <v>43</v>
      </c>
      <c r="I32" s="238"/>
      <c r="J32" s="235">
        <v>7500</v>
      </c>
      <c r="K32" s="238"/>
    </row>
    <row r="33" spans="1:12" hidden="1" outlineLevel="1" x14ac:dyDescent="0.25">
      <c r="A33" s="1" t="s">
        <v>44</v>
      </c>
      <c r="B33" s="235">
        <v>7000</v>
      </c>
      <c r="C33" s="38"/>
      <c r="D33" s="1" t="s">
        <v>44</v>
      </c>
      <c r="E33" s="238"/>
      <c r="F33" s="235">
        <f t="shared" si="4"/>
        <v>7000</v>
      </c>
      <c r="G33" s="238"/>
      <c r="H33" s="1" t="s">
        <v>44</v>
      </c>
      <c r="I33" s="238"/>
      <c r="J33" s="235">
        <f>F33</f>
        <v>7000</v>
      </c>
      <c r="K33" s="238"/>
    </row>
    <row r="34" spans="1:12" hidden="1" outlineLevel="1" x14ac:dyDescent="0.25">
      <c r="A34" s="1" t="s">
        <v>45</v>
      </c>
      <c r="B34" s="235">
        <v>101000</v>
      </c>
      <c r="C34" s="38"/>
      <c r="D34" s="1" t="s">
        <v>45</v>
      </c>
      <c r="E34" s="238"/>
      <c r="F34" s="235">
        <f t="shared" si="4"/>
        <v>101000</v>
      </c>
      <c r="G34" s="238"/>
      <c r="H34" s="1" t="s">
        <v>45</v>
      </c>
      <c r="I34" s="238"/>
      <c r="J34" s="235">
        <f>F34</f>
        <v>101000</v>
      </c>
      <c r="K34" s="238"/>
    </row>
    <row r="35" spans="1:12" hidden="1" outlineLevel="1" x14ac:dyDescent="0.25">
      <c r="A35" s="35" t="s">
        <v>46</v>
      </c>
      <c r="B35" s="234">
        <v>14500</v>
      </c>
      <c r="C35" s="38"/>
      <c r="D35" s="35" t="s">
        <v>46</v>
      </c>
      <c r="E35" s="237"/>
      <c r="F35" s="234">
        <f t="shared" si="4"/>
        <v>14500</v>
      </c>
      <c r="G35" s="237"/>
      <c r="H35" s="35" t="s">
        <v>46</v>
      </c>
      <c r="I35" s="237"/>
      <c r="J35" s="234">
        <f>F35</f>
        <v>14500</v>
      </c>
      <c r="K35" s="237"/>
    </row>
    <row r="36" spans="1:12" s="32" customFormat="1" collapsed="1" x14ac:dyDescent="0.25">
      <c r="A36" s="32" t="s">
        <v>47</v>
      </c>
      <c r="B36" s="111">
        <f>SUM(B31:B35)</f>
        <v>297500</v>
      </c>
      <c r="C36" s="114"/>
      <c r="D36" s="32" t="s">
        <v>47</v>
      </c>
      <c r="E36" s="111"/>
      <c r="F36" s="111">
        <f>SUM(F31:F35)</f>
        <v>298500</v>
      </c>
      <c r="G36" s="111"/>
      <c r="H36" s="32" t="s">
        <v>47</v>
      </c>
      <c r="I36" s="111"/>
      <c r="J36" s="111">
        <f>SUM(J31:J35)</f>
        <v>235000</v>
      </c>
      <c r="K36" s="111"/>
    </row>
    <row r="37" spans="1:12" hidden="1" outlineLevel="1" x14ac:dyDescent="0.25">
      <c r="B37" s="37"/>
      <c r="D37" s="34"/>
      <c r="E37" s="37"/>
      <c r="F37" s="37"/>
      <c r="G37" s="37"/>
      <c r="H37" s="34"/>
      <c r="I37" s="34"/>
      <c r="K37" s="34"/>
    </row>
    <row r="38" spans="1:12" s="32" customFormat="1" hidden="1" outlineLevel="1" x14ac:dyDescent="0.25">
      <c r="A38" s="32" t="s">
        <v>48</v>
      </c>
      <c r="B38" s="36" t="s">
        <v>188</v>
      </c>
      <c r="C38" s="2"/>
      <c r="D38" s="32" t="s">
        <v>48</v>
      </c>
      <c r="E38" s="36"/>
      <c r="F38" s="36"/>
      <c r="G38" s="36"/>
      <c r="H38" s="32" t="s">
        <v>48</v>
      </c>
    </row>
    <row r="39" spans="1:12" hidden="1" outlineLevel="1" x14ac:dyDescent="0.25">
      <c r="A39" s="33" t="s">
        <v>120</v>
      </c>
      <c r="B39" s="233">
        <v>15000</v>
      </c>
      <c r="C39" s="38"/>
      <c r="D39" s="33" t="s">
        <v>120</v>
      </c>
      <c r="E39" s="236"/>
      <c r="F39" s="233">
        <v>16050</v>
      </c>
      <c r="G39" s="236"/>
      <c r="H39" s="33" t="s">
        <v>120</v>
      </c>
      <c r="I39" s="236"/>
      <c r="J39" s="233">
        <v>4000</v>
      </c>
      <c r="K39" s="236"/>
    </row>
    <row r="40" spans="1:12" hidden="1" outlineLevel="1" x14ac:dyDescent="0.25">
      <c r="A40" s="35" t="s">
        <v>49</v>
      </c>
      <c r="B40" s="234">
        <v>14000</v>
      </c>
      <c r="C40" s="38"/>
      <c r="D40" s="35" t="s">
        <v>49</v>
      </c>
      <c r="E40" s="237"/>
      <c r="F40" s="234">
        <f t="shared" ref="F40" si="5">B40</f>
        <v>14000</v>
      </c>
      <c r="G40" s="237"/>
      <c r="H40" s="35" t="s">
        <v>49</v>
      </c>
      <c r="I40" s="237"/>
      <c r="J40" s="234">
        <v>14000</v>
      </c>
      <c r="K40" s="237"/>
    </row>
    <row r="41" spans="1:12" s="32" customFormat="1" collapsed="1" x14ac:dyDescent="0.25">
      <c r="A41" s="32" t="s">
        <v>50</v>
      </c>
      <c r="B41" s="111">
        <f>SUM(B39:B40)</f>
        <v>29000</v>
      </c>
      <c r="C41" s="114"/>
      <c r="D41" s="32" t="s">
        <v>50</v>
      </c>
      <c r="E41" s="111"/>
      <c r="F41" s="111">
        <f>SUM(F39:F40)</f>
        <v>30050</v>
      </c>
      <c r="G41" s="111"/>
      <c r="H41" s="32" t="s">
        <v>50</v>
      </c>
      <c r="I41" s="111"/>
      <c r="J41" s="111">
        <f>SUM(J39:J40)</f>
        <v>18000</v>
      </c>
      <c r="K41" s="111"/>
    </row>
    <row r="42" spans="1:12" x14ac:dyDescent="0.25">
      <c r="B42" s="37"/>
      <c r="C42" s="38"/>
      <c r="D42" s="34"/>
      <c r="E42" s="37"/>
      <c r="F42" s="37"/>
      <c r="G42" s="37"/>
      <c r="H42" s="34"/>
      <c r="I42" s="37"/>
      <c r="J42" s="37"/>
      <c r="K42" s="37"/>
    </row>
    <row r="43" spans="1:12" s="32" customFormat="1" x14ac:dyDescent="0.25">
      <c r="A43" s="39" t="s">
        <v>125</v>
      </c>
      <c r="B43" s="113">
        <f>B11+B18+B23+B28+B36+B41</f>
        <v>1403250</v>
      </c>
      <c r="C43" s="114"/>
      <c r="D43" s="39" t="s">
        <v>125</v>
      </c>
      <c r="E43" s="113">
        <f>F43*(1+E6)</f>
        <v>1265670</v>
      </c>
      <c r="F43" s="113">
        <f>F11+F18+F23+F28+F36+F41</f>
        <v>1406300</v>
      </c>
      <c r="G43" s="113">
        <f>F43*(1+G6)</f>
        <v>1828190</v>
      </c>
      <c r="H43" s="39" t="s">
        <v>125</v>
      </c>
      <c r="I43" s="113">
        <f>J43*(1+I6)</f>
        <v>1004062.5</v>
      </c>
      <c r="J43" s="113">
        <f>J11+J18+J23+J28+J36+J41</f>
        <v>1115625</v>
      </c>
      <c r="K43" s="113">
        <f>J43*(1+K6)</f>
        <v>1450312.5</v>
      </c>
    </row>
    <row r="44" spans="1:12" x14ac:dyDescent="0.25">
      <c r="D44" s="34"/>
      <c r="E44" s="34"/>
      <c r="G44" s="34"/>
      <c r="H44" s="34"/>
      <c r="I44" s="34"/>
      <c r="K44" s="34"/>
    </row>
    <row r="45" spans="1:12" s="32" customFormat="1" x14ac:dyDescent="0.25">
      <c r="A45" s="211" t="s">
        <v>127</v>
      </c>
      <c r="B45" s="212"/>
      <c r="C45" s="2"/>
      <c r="D45" s="39" t="str">
        <f>CONCATENATE("Net Present Value: ",Project_Master!$C$6," years, ", $E$2*100,"% discount rate")</f>
        <v>Net Present Value: 50 years, 3.375% discount rate</v>
      </c>
      <c r="E45" s="184">
        <f>IF(Project_Master!$C10=0,Costs_O_and_M!E$43*Project_Master!$C$6,E$43*((1-((1+Project_Master!$C$10)^-(Project_Master!$C$6)))/Project_Master!$C$10))</f>
        <v>30368360.31873564</v>
      </c>
      <c r="F45" s="184">
        <f>IF(Project_Master!$C10=0,Costs_O_and_M!F$43*Project_Master!$C$6,F$43*((1-((1+Project_Master!$C$10)^-(Project_Master!$C$6)))/Project_Master!$C$10))</f>
        <v>33742622.576372936</v>
      </c>
      <c r="G45" s="184">
        <f>IF(Project_Master!$C10=0,Costs_O_and_M!G$43*Project_Master!$C$6,G$43*((1-((1+Project_Master!$C$10)^-(Project_Master!$C$6)))/Project_Master!$C$10))</f>
        <v>43865409.349284813</v>
      </c>
      <c r="H45" s="39" t="str">
        <f>CONCATENATE("Net Present Value: ",Project_Master!$C$6," years, ", $E$2*100,"% discount rate")</f>
        <v>Net Present Value: 50 years, 3.375% discount rate</v>
      </c>
      <c r="I45" s="184">
        <f>IF(Project_Master!$C10=0,Costs_O_and_M!I$43*Project_Master!$C$6,I$43*((1-((1+Project_Master!$C$10)^-(Project_Master!$C$6)))/Project_Master!$C$10))</f>
        <v>24091375.937274728</v>
      </c>
      <c r="J45" s="184">
        <f>IF(Project_Master!$C10=0,Costs_O_and_M!J$43*Project_Master!$C$6,J$43*((1-((1+Project_Master!$C$10)^-(Project_Master!$C$6)))/Project_Master!$C$10))</f>
        <v>26768195.48586081</v>
      </c>
      <c r="K45" s="184">
        <f>IF(Project_Master!$C10=0,Costs_O_and_M!K$43*Project_Master!$C$6,K$43*((1-((1+Project_Master!$C$10)^-(Project_Master!$C$6)))/Project_Master!$C$10))</f>
        <v>34798654.131619051</v>
      </c>
    </row>
    <row r="46" spans="1:12" x14ac:dyDescent="0.25">
      <c r="A46" s="131"/>
      <c r="F46" s="139"/>
      <c r="G46" s="140"/>
      <c r="I46" s="100"/>
      <c r="J46" s="139"/>
      <c r="K46" s="141"/>
      <c r="L46" s="100"/>
    </row>
    <row r="47" spans="1:12" s="98" customFormat="1" x14ac:dyDescent="0.25">
      <c r="A47" s="313" t="s">
        <v>117</v>
      </c>
      <c r="C47" s="71"/>
      <c r="D47" s="71"/>
      <c r="E47" s="71"/>
      <c r="G47" s="99"/>
      <c r="H47" s="71"/>
      <c r="I47" s="71"/>
      <c r="K47" s="99"/>
      <c r="L47" s="71"/>
    </row>
    <row r="48" spans="1:12" s="98" customFormat="1" x14ac:dyDescent="0.25">
      <c r="A48" s="313"/>
      <c r="C48" s="71"/>
      <c r="D48" s="71"/>
      <c r="E48" s="71"/>
      <c r="G48" s="99"/>
      <c r="H48" s="71"/>
      <c r="I48" s="71"/>
      <c r="K48" s="99"/>
      <c r="L48" s="71"/>
    </row>
    <row r="49" spans="1:12" s="98" customFormat="1" x14ac:dyDescent="0.25">
      <c r="A49" s="313"/>
      <c r="C49" s="71"/>
      <c r="D49" s="71"/>
      <c r="E49" s="71">
        <f>E45/E43</f>
        <v>23.993900715617531</v>
      </c>
      <c r="G49" s="99"/>
      <c r="H49" s="71"/>
      <c r="I49" s="71"/>
      <c r="K49" s="99"/>
      <c r="L49" s="71"/>
    </row>
    <row r="50" spans="1:12" x14ac:dyDescent="0.25">
      <c r="A50" s="313"/>
      <c r="G50" s="70"/>
      <c r="L50" s="1"/>
    </row>
    <row r="51" spans="1:12" x14ac:dyDescent="0.25">
      <c r="A51" s="313" t="s">
        <v>190</v>
      </c>
      <c r="F51" s="98"/>
      <c r="L51" s="1"/>
    </row>
    <row r="52" spans="1:12" x14ac:dyDescent="0.25">
      <c r="F52" s="98"/>
    </row>
    <row r="53" spans="1:12" x14ac:dyDescent="0.25">
      <c r="F53" s="98"/>
    </row>
    <row r="54" spans="1:12" x14ac:dyDescent="0.25">
      <c r="F54" s="98"/>
    </row>
    <row r="55" spans="1:12" x14ac:dyDescent="0.25">
      <c r="F55" s="98"/>
    </row>
    <row r="56" spans="1:12" x14ac:dyDescent="0.25">
      <c r="F56" s="98"/>
    </row>
    <row r="57" spans="1:12" x14ac:dyDescent="0.25">
      <c r="F57" s="98"/>
    </row>
    <row r="58" spans="1:12" x14ac:dyDescent="0.25">
      <c r="F58" s="98"/>
    </row>
    <row r="59" spans="1:12" x14ac:dyDescent="0.25">
      <c r="F59" s="98"/>
    </row>
    <row r="60" spans="1:12" x14ac:dyDescent="0.25">
      <c r="F60" s="98"/>
    </row>
    <row r="61" spans="1:12" x14ac:dyDescent="0.25">
      <c r="F61" s="98"/>
    </row>
    <row r="62" spans="1:12" x14ac:dyDescent="0.25">
      <c r="F62" s="98"/>
    </row>
    <row r="63" spans="1:12" x14ac:dyDescent="0.25">
      <c r="F63" s="98"/>
    </row>
    <row r="64" spans="1:12" x14ac:dyDescent="0.25">
      <c r="F64" s="98"/>
    </row>
    <row r="65" spans="6:6" x14ac:dyDescent="0.25">
      <c r="F65" s="98"/>
    </row>
    <row r="66" spans="6:6" x14ac:dyDescent="0.25">
      <c r="F66" s="98"/>
    </row>
    <row r="67" spans="6:6" x14ac:dyDescent="0.25">
      <c r="F67" s="98"/>
    </row>
    <row r="68" spans="6:6" x14ac:dyDescent="0.25">
      <c r="F68" s="98"/>
    </row>
    <row r="69" spans="6:6" x14ac:dyDescent="0.25">
      <c r="F69" s="98"/>
    </row>
    <row r="70" spans="6:6" x14ac:dyDescent="0.25">
      <c r="F70" s="98"/>
    </row>
    <row r="71" spans="6:6" x14ac:dyDescent="0.25">
      <c r="F71" s="98"/>
    </row>
    <row r="72" spans="6:6" x14ac:dyDescent="0.25">
      <c r="F72" s="98"/>
    </row>
    <row r="73" spans="6:6" x14ac:dyDescent="0.25">
      <c r="F73" s="98"/>
    </row>
    <row r="74" spans="6:6" x14ac:dyDescent="0.25">
      <c r="F74" s="98"/>
    </row>
    <row r="75" spans="6:6" x14ac:dyDescent="0.25">
      <c r="F75" s="98"/>
    </row>
    <row r="76" spans="6:6" x14ac:dyDescent="0.25">
      <c r="F76" s="98"/>
    </row>
    <row r="77" spans="6:6" x14ac:dyDescent="0.25">
      <c r="F77" s="98"/>
    </row>
    <row r="78" spans="6:6" x14ac:dyDescent="0.25">
      <c r="F78" s="98"/>
    </row>
    <row r="79" spans="6:6" x14ac:dyDescent="0.25">
      <c r="F79" s="98"/>
    </row>
    <row r="80" spans="6:6" x14ac:dyDescent="0.25">
      <c r="F80" s="98"/>
    </row>
    <row r="81" spans="6:6" x14ac:dyDescent="0.25">
      <c r="F81" s="98"/>
    </row>
    <row r="82" spans="6:6" x14ac:dyDescent="0.25">
      <c r="F82" s="98"/>
    </row>
    <row r="83" spans="6:6" x14ac:dyDescent="0.25">
      <c r="F83" s="98"/>
    </row>
    <row r="84" spans="6:6" x14ac:dyDescent="0.25">
      <c r="F84" s="98"/>
    </row>
    <row r="85" spans="6:6" x14ac:dyDescent="0.25">
      <c r="F85" s="98"/>
    </row>
    <row r="86" spans="6:6" x14ac:dyDescent="0.25">
      <c r="F86" s="98"/>
    </row>
    <row r="87" spans="6:6" x14ac:dyDescent="0.25">
      <c r="F87" s="98"/>
    </row>
    <row r="88" spans="6:6" x14ac:dyDescent="0.25">
      <c r="F88" s="98"/>
    </row>
    <row r="89" spans="6:6" x14ac:dyDescent="0.25">
      <c r="F89" s="98"/>
    </row>
    <row r="90" spans="6:6" x14ac:dyDescent="0.25">
      <c r="F90" s="98"/>
    </row>
    <row r="91" spans="6:6" x14ac:dyDescent="0.25">
      <c r="F91" s="98"/>
    </row>
    <row r="92" spans="6:6" x14ac:dyDescent="0.25">
      <c r="F92" s="98"/>
    </row>
    <row r="93" spans="6:6" x14ac:dyDescent="0.25">
      <c r="F93" s="98"/>
    </row>
    <row r="94" spans="6:6" x14ac:dyDescent="0.25">
      <c r="F94" s="98"/>
    </row>
    <row r="95" spans="6:6" x14ac:dyDescent="0.25">
      <c r="F95" s="98"/>
    </row>
    <row r="96" spans="6:6" x14ac:dyDescent="0.25">
      <c r="F96" s="98"/>
    </row>
    <row r="97" spans="6:6" x14ac:dyDescent="0.25">
      <c r="F97" s="98"/>
    </row>
  </sheetData>
  <phoneticPr fontId="33" type="noConversion"/>
  <dataValidations count="1">
    <dataValidation allowBlank="1" showInputMessage="1" showErrorMessage="1" promptTitle="&lt;Click to Select Discount Rate&gt;" sqref="E2:E4 I2:I4"/>
  </dataValidations>
  <pageMargins left="0.5" right="0.5" top="1" bottom="1" header="0.5" footer="0.5"/>
  <pageSetup orientation="portrait" horizontalDpi="4294967292" verticalDpi="4294967292" r:id="rId1"/>
  <headerFooter>
    <oddHeader>&amp;C&amp;"Calibri (Body),Bold"&amp;14O and M Cost Projections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view="pageLayout" zoomScale="75" zoomScaleNormal="75" zoomScalePageLayoutView="75" workbookViewId="0">
      <selection activeCell="B10" sqref="B10"/>
    </sheetView>
  </sheetViews>
  <sheetFormatPr defaultColWidth="10.875" defaultRowHeight="12.75" x14ac:dyDescent="0.2"/>
  <cols>
    <col min="1" max="1" width="33.125" style="108" bestFit="1" customWidth="1"/>
    <col min="2" max="2" width="11.375" style="108" customWidth="1"/>
    <col min="3" max="3" width="8.375" style="108" customWidth="1"/>
    <col min="4" max="4" width="11.875" style="108" customWidth="1"/>
    <col min="5" max="6" width="12" style="108" bestFit="1" customWidth="1"/>
    <col min="7" max="7" width="31" style="416" bestFit="1" customWidth="1"/>
    <col min="8" max="8" width="11.375" style="416" customWidth="1"/>
    <col min="9" max="9" width="8.375" style="416" bestFit="1" customWidth="1"/>
    <col min="10" max="12" width="12" style="416" customWidth="1"/>
    <col min="13" max="16384" width="10.875" style="108"/>
  </cols>
  <sheetData>
    <row r="1" spans="1:12" s="410" customFormat="1" x14ac:dyDescent="0.2">
      <c r="A1" s="410" t="str">
        <f>Alternatives_Assumptions!C1</f>
        <v>FC 1.0/No Action</v>
      </c>
      <c r="G1" s="410" t="str">
        <f>Project_Master!$B$15</f>
        <v>FC 2.0</v>
      </c>
    </row>
    <row r="2" spans="1:12" s="103" customFormat="1" x14ac:dyDescent="0.2">
      <c r="A2" s="411"/>
    </row>
    <row r="3" spans="1:12" s="103" customFormat="1" x14ac:dyDescent="0.2">
      <c r="A3" s="411"/>
      <c r="B3" s="412" t="s">
        <v>114</v>
      </c>
      <c r="C3" s="147"/>
      <c r="D3" s="411"/>
      <c r="E3" s="411"/>
      <c r="H3" s="412" t="s">
        <v>114</v>
      </c>
    </row>
    <row r="4" spans="1:12" s="105" customFormat="1" x14ac:dyDescent="0.2">
      <c r="A4" s="413" t="s">
        <v>111</v>
      </c>
      <c r="B4" s="414" t="s">
        <v>112</v>
      </c>
      <c r="C4" s="415" t="s">
        <v>113</v>
      </c>
      <c r="D4" s="415" t="s">
        <v>6</v>
      </c>
      <c r="E4" s="415" t="s">
        <v>4</v>
      </c>
      <c r="F4" s="415" t="s">
        <v>5</v>
      </c>
      <c r="G4" s="413" t="s">
        <v>111</v>
      </c>
      <c r="H4" s="414" t="s">
        <v>112</v>
      </c>
      <c r="I4" s="415" t="s">
        <v>113</v>
      </c>
      <c r="J4" s="415" t="s">
        <v>6</v>
      </c>
      <c r="K4" s="415" t="s">
        <v>4</v>
      </c>
      <c r="L4" s="415" t="s">
        <v>5</v>
      </c>
    </row>
    <row r="5" spans="1:12" s="103" customFormat="1" x14ac:dyDescent="0.2">
      <c r="A5" s="101" t="str">
        <f>Alternatives_Assumptions!A4</f>
        <v>Traditional (1.0)/horizontal (2.0) levee construction</v>
      </c>
      <c r="B5" s="227">
        <v>6</v>
      </c>
      <c r="C5" s="228">
        <v>30</v>
      </c>
      <c r="D5" s="102">
        <f>Alternatives_Assumptions!C4</f>
        <v>31280000</v>
      </c>
      <c r="E5" s="102">
        <f>Alternatives_Assumptions!D4</f>
        <v>39000000</v>
      </c>
      <c r="F5" s="102">
        <f>Alternatives_Assumptions!E4</f>
        <v>56550000</v>
      </c>
      <c r="G5" s="101" t="str">
        <f>A5</f>
        <v>Traditional (1.0)/horizontal (2.0) levee construction</v>
      </c>
      <c r="H5" s="227">
        <v>21</v>
      </c>
      <c r="I5" s="228">
        <v>25</v>
      </c>
      <c r="J5" s="102">
        <f>Alternatives_Assumptions!G4</f>
        <v>3632640</v>
      </c>
      <c r="K5" s="102">
        <f>Alternatives_Assumptions!H4</f>
        <v>4260960</v>
      </c>
      <c r="L5" s="102">
        <f>Alternatives_Assumptions!I4</f>
        <v>4884000</v>
      </c>
    </row>
    <row r="6" spans="1:12" s="103" customFormat="1" x14ac:dyDescent="0.2">
      <c r="A6" s="103" t="str">
        <f>Alternatives_Assumptions!A7</f>
        <v>Pump station rebuild/replace</v>
      </c>
      <c r="B6" s="229">
        <v>11</v>
      </c>
      <c r="C6" s="229">
        <v>50</v>
      </c>
      <c r="D6" s="106">
        <f>Alternatives_Assumptions!C7</f>
        <v>97500000</v>
      </c>
      <c r="E6" s="106">
        <f>Alternatives_Assumptions!D7</f>
        <v>130000000</v>
      </c>
      <c r="F6" s="106">
        <f>Alternatives_Assumptions!E7</f>
        <v>162500000</v>
      </c>
      <c r="G6" s="103" t="str">
        <f t="shared" ref="G6:G11" si="0">A6</f>
        <v>Pump station rebuild/replace</v>
      </c>
      <c r="H6" s="229">
        <v>11</v>
      </c>
      <c r="I6" s="229">
        <v>50</v>
      </c>
      <c r="J6" s="106">
        <f>Alternatives_Assumptions!G7</f>
        <v>22500000</v>
      </c>
      <c r="K6" s="106">
        <f>Alternatives_Assumptions!H7</f>
        <v>30000000</v>
      </c>
      <c r="L6" s="106">
        <f>Alternatives_Assumptions!I7</f>
        <v>37500000</v>
      </c>
    </row>
    <row r="7" spans="1:12" x14ac:dyDescent="0.2">
      <c r="A7" s="107" t="str">
        <f>Alternatives_Assumptions!A10</f>
        <v>Levee removal</v>
      </c>
      <c r="B7" s="229"/>
      <c r="C7" s="229"/>
      <c r="D7" s="106">
        <f>Alternatives_Assumptions!C10</f>
        <v>0</v>
      </c>
      <c r="E7" s="106">
        <f>Alternatives_Assumptions!D10</f>
        <v>0</v>
      </c>
      <c r="F7" s="106">
        <f>Alternatives_Assumptions!E10</f>
        <v>0</v>
      </c>
      <c r="G7" s="103" t="str">
        <f t="shared" si="0"/>
        <v>Levee removal</v>
      </c>
      <c r="H7" s="229">
        <v>6</v>
      </c>
      <c r="I7" s="229">
        <v>25</v>
      </c>
      <c r="J7" s="106">
        <f>Alternatives_Assumptions!G10</f>
        <v>10432800</v>
      </c>
      <c r="K7" s="106">
        <f>Alternatives_Assumptions!H10</f>
        <v>11592000</v>
      </c>
      <c r="L7" s="106">
        <f>Alternatives_Assumptions!I10</f>
        <v>15069600</v>
      </c>
    </row>
    <row r="8" spans="1:12" x14ac:dyDescent="0.2">
      <c r="A8" s="107" t="str">
        <f>Alternatives_Assumptions!A13</f>
        <v>Habitat restoration</v>
      </c>
      <c r="B8" s="229"/>
      <c r="C8" s="229"/>
      <c r="D8" s="106">
        <f>Alternatives_Assumptions!C13</f>
        <v>0</v>
      </c>
      <c r="E8" s="106">
        <f>Alternatives_Assumptions!D13</f>
        <v>0</v>
      </c>
      <c r="F8" s="106">
        <f>Alternatives_Assumptions!E13</f>
        <v>0</v>
      </c>
      <c r="G8" s="103" t="str">
        <f t="shared" si="0"/>
        <v>Habitat restoration</v>
      </c>
      <c r="H8" s="229">
        <v>6</v>
      </c>
      <c r="I8" s="229">
        <v>20</v>
      </c>
      <c r="J8" s="106">
        <f>Alternatives_Assumptions!G13</f>
        <v>60000</v>
      </c>
      <c r="K8" s="106">
        <f>Alternatives_Assumptions!H13</f>
        <v>198000</v>
      </c>
      <c r="L8" s="106">
        <f>Alternatives_Assumptions!I13</f>
        <v>900000</v>
      </c>
    </row>
    <row r="9" spans="1:12" x14ac:dyDescent="0.2">
      <c r="A9" s="108" t="s">
        <v>234</v>
      </c>
      <c r="B9" s="229"/>
      <c r="C9" s="229"/>
      <c r="D9" s="106">
        <f>Alternatives_Assumptions!C16</f>
        <v>0</v>
      </c>
      <c r="E9" s="106">
        <f>Alternatives_Assumptions!D16</f>
        <v>0</v>
      </c>
      <c r="F9" s="106">
        <f>Alternatives_Assumptions!E16</f>
        <v>0</v>
      </c>
      <c r="G9" s="108" t="s">
        <v>234</v>
      </c>
      <c r="H9" s="229">
        <v>6</v>
      </c>
      <c r="I9" s="229">
        <v>10</v>
      </c>
      <c r="J9" s="106">
        <f>Alternatives_Assumptions!G16</f>
        <v>40000000</v>
      </c>
      <c r="K9" s="106">
        <f>Alternatives_Assumptions!H16</f>
        <v>70000000</v>
      </c>
      <c r="L9" s="106">
        <f>Alternatives_Assumptions!I16</f>
        <v>100000000</v>
      </c>
    </row>
    <row r="10" spans="1:12" x14ac:dyDescent="0.2">
      <c r="A10" s="107" t="str">
        <f>Alternatives_Assumptions!A19</f>
        <v>Planning, Permitting, Design (% of constr)</v>
      </c>
      <c r="B10" s="229">
        <v>0</v>
      </c>
      <c r="C10" s="229">
        <v>5</v>
      </c>
      <c r="D10" s="106">
        <f>SUM(D5:D8)*0.05</f>
        <v>6439000</v>
      </c>
      <c r="E10" s="106">
        <f>SUM(E5:E8)*0.05</f>
        <v>8450000</v>
      </c>
      <c r="F10" s="106">
        <f>SUM(F5:F8)*0.05</f>
        <v>10952500</v>
      </c>
      <c r="G10" s="103" t="str">
        <f t="shared" si="0"/>
        <v>Planning, Permitting, Design (% of constr)</v>
      </c>
      <c r="H10" s="229">
        <v>0</v>
      </c>
      <c r="I10" s="229">
        <v>5</v>
      </c>
      <c r="J10" s="106">
        <f>SUM(J5:J9)*0.05</f>
        <v>3831272</v>
      </c>
      <c r="K10" s="106">
        <f t="shared" ref="K10:L10" si="1">SUM(K5:K9)*0.05</f>
        <v>5802548</v>
      </c>
      <c r="L10" s="106">
        <f t="shared" si="1"/>
        <v>7917680</v>
      </c>
    </row>
    <row r="11" spans="1:12" x14ac:dyDescent="0.2">
      <c r="A11" s="109" t="str">
        <f>Alternatives_Assumptions!A20</f>
        <v>Monitoring (% of total Proj costs)</v>
      </c>
      <c r="B11" s="230">
        <v>10</v>
      </c>
      <c r="C11" s="230">
        <v>50</v>
      </c>
      <c r="D11" s="110">
        <f>SUM(D5:D10)*0.01</f>
        <v>1352190</v>
      </c>
      <c r="E11" s="110">
        <f t="shared" ref="E11:F11" si="2">SUM(E5:E10)*0.01</f>
        <v>1774500</v>
      </c>
      <c r="F11" s="110">
        <f t="shared" si="2"/>
        <v>2300025</v>
      </c>
      <c r="G11" s="149" t="str">
        <f t="shared" si="0"/>
        <v>Monitoring (% of total Proj costs)</v>
      </c>
      <c r="H11" s="230">
        <v>10</v>
      </c>
      <c r="I11" s="230">
        <v>50</v>
      </c>
      <c r="J11" s="110">
        <f>SUM(J5:J10)*0.01</f>
        <v>804567.12</v>
      </c>
      <c r="K11" s="110">
        <f t="shared" ref="K11:L11" si="3">SUM(K5:K10)*0.01</f>
        <v>1218535.08</v>
      </c>
      <c r="L11" s="110">
        <f t="shared" si="3"/>
        <v>1662712.8</v>
      </c>
    </row>
    <row r="13" spans="1:12" x14ac:dyDescent="0.2">
      <c r="A13" s="417" t="s">
        <v>52</v>
      </c>
      <c r="B13" s="418">
        <f>Benefits_FloodRisk!B2</f>
        <v>3.3750000000000002E-2</v>
      </c>
      <c r="C13" s="419" t="s">
        <v>15</v>
      </c>
      <c r="D13" s="420">
        <f>NPV($B13,D18:D67)</f>
        <v>61194166.3747738</v>
      </c>
      <c r="E13" s="420">
        <f>NPV($B13,E18:E67)</f>
        <v>79946457.507015899</v>
      </c>
      <c r="F13" s="420">
        <f>NPV($B13,F18:F67)</f>
        <v>104675791.73952982</v>
      </c>
      <c r="G13" s="421" t="str">
        <f>A13</f>
        <v>Discount rate</v>
      </c>
      <c r="H13" s="418">
        <f>B13</f>
        <v>3.3750000000000002E-2</v>
      </c>
      <c r="I13" s="419" t="s">
        <v>15</v>
      </c>
      <c r="J13" s="420">
        <f>NPV($H13,J18:J67)</f>
        <v>50794134.710885249</v>
      </c>
      <c r="K13" s="420">
        <f>NPV($H13,K18:K67)</f>
        <v>79495904.443517521</v>
      </c>
      <c r="L13" s="420">
        <f>NPV($H13,L18:L67)</f>
        <v>110097478.37348643</v>
      </c>
    </row>
    <row r="14" spans="1:12" x14ac:dyDescent="0.2">
      <c r="A14" s="389"/>
      <c r="B14" s="422"/>
      <c r="C14" s="419" t="s">
        <v>51</v>
      </c>
      <c r="D14" s="420">
        <f>($B$13*D13)/(1-(1+$B$13)^-Project_Master!$C$6)</f>
        <v>2550405.0841946998</v>
      </c>
      <c r="E14" s="420">
        <f>($B$13*E13)/(1-(1+$B$13)^-Project_Master!$C$6)</f>
        <v>3331949.1671889382</v>
      </c>
      <c r="F14" s="420">
        <f>($B$13*F13)/(1-(1+$B$13)^-Project_Master!$C$6)</f>
        <v>4362600.019904091</v>
      </c>
      <c r="G14" s="423"/>
      <c r="H14" s="422"/>
      <c r="I14" s="419" t="s">
        <v>51</v>
      </c>
      <c r="J14" s="420">
        <f>($H$13*J13)/(1-(1+$H$13)^-Project_Master!$C$6)</f>
        <v>2116960.2772351042</v>
      </c>
      <c r="K14" s="420">
        <f>($H$13*K13)/(1-(1+$H$13)^-Project_Master!$C$6)</f>
        <v>3313171.3507413976</v>
      </c>
      <c r="L14" s="420">
        <f>($H$13*L13)/(1-(1+$H$13)^-Project_Master!$C$6)</f>
        <v>4588561.0546777183</v>
      </c>
    </row>
    <row r="15" spans="1:12" x14ac:dyDescent="0.2">
      <c r="G15" s="424"/>
    </row>
    <row r="16" spans="1:12" x14ac:dyDescent="0.2">
      <c r="A16" s="19" t="str">
        <f>A1</f>
        <v>FC 1.0/No Action</v>
      </c>
      <c r="B16" s="19"/>
      <c r="C16" s="19"/>
      <c r="D16" s="19" t="s">
        <v>122</v>
      </c>
      <c r="E16" s="19"/>
      <c r="F16" s="19"/>
      <c r="G16" s="19" t="str">
        <f>G1</f>
        <v>FC 2.0</v>
      </c>
      <c r="H16" s="19"/>
      <c r="I16" s="19"/>
      <c r="J16" s="19" t="s">
        <v>122</v>
      </c>
      <c r="K16" s="19"/>
      <c r="L16" s="19"/>
    </row>
    <row r="17" spans="1:12" s="326" customFormat="1" x14ac:dyDescent="0.2">
      <c r="A17" s="425" t="s">
        <v>86</v>
      </c>
      <c r="B17" s="425" t="s">
        <v>85</v>
      </c>
      <c r="C17" s="425"/>
      <c r="D17" s="425" t="s">
        <v>6</v>
      </c>
      <c r="E17" s="425" t="s">
        <v>4</v>
      </c>
      <c r="F17" s="425" t="s">
        <v>5</v>
      </c>
      <c r="G17" s="425" t="s">
        <v>86</v>
      </c>
      <c r="H17" s="425" t="s">
        <v>85</v>
      </c>
      <c r="I17" s="425"/>
      <c r="J17" s="425" t="s">
        <v>6</v>
      </c>
      <c r="K17" s="425" t="s">
        <v>4</v>
      </c>
      <c r="L17" s="425" t="s">
        <v>5</v>
      </c>
    </row>
    <row r="18" spans="1:12" s="326" customFormat="1" x14ac:dyDescent="0.2">
      <c r="A18" s="426">
        <v>1</v>
      </c>
      <c r="B18" s="426">
        <f>2016+A18</f>
        <v>2017</v>
      </c>
      <c r="C18" s="427"/>
      <c r="D18" s="428">
        <f t="shared" ref="D18:F37" si="4">(IF((AND($A18&gt;=$B$5,$A18&lt;=$C$5)),D$106,0)+IF((AND($A18&gt;=$B$6,$A18&lt;=$C$6)),D$107,0)+IF((AND($A18&gt;=$B$7,$A18&lt;=$C$7)),D$108,0)+IF((AND($A18&gt;=$B$8,$A18&lt;=$C$8)),D$109,0)+IF((AND($A18&gt;=$B$10,$A18&lt;=$C$10)),D$111,0)+IF((AND($A18&gt;=$B$11,$A18&lt;=$C$11)),D$112,0))</f>
        <v>1073166.6666666667</v>
      </c>
      <c r="E18" s="428">
        <f t="shared" si="4"/>
        <v>1408333.3333333333</v>
      </c>
      <c r="F18" s="428">
        <f t="shared" si="4"/>
        <v>1825416.6666666667</v>
      </c>
      <c r="G18" s="426">
        <v>1</v>
      </c>
      <c r="H18" s="426">
        <f>2016+G18</f>
        <v>2017</v>
      </c>
      <c r="I18" s="429"/>
      <c r="J18" s="428">
        <f>(IF((AND($G18&gt;=$H$5,$G18&lt;=$I$5)),J$106,0)+IF((AND($G18&gt;=$H$6,$G18&lt;=$I$6)),J$107,0)+IF((AND($G18&gt;=$H$7,$G18&lt;=$I$7)),J$108,0)+IF((AND($G18&gt;=$H$8,$G18&lt;=$I$8)),J$109,0)+IF((AND($G18&gt;=$H$9,$G18&lt;=$I$9)),J$110,0)+IF((AND($G18&gt;=$H$10,$G18&lt;=$I$10)),J$111,0)+IF((AND($G18&gt;=$H$11,$G18&lt;=$I$11)),J$112,0))</f>
        <v>638545.33333333337</v>
      </c>
      <c r="K18" s="428">
        <f>(IF((AND($G18&gt;=$H$5,$G18&lt;=$I$5)),K$106,0)+IF((AND($G18&gt;=$H$6,$G18&lt;=$I$6)),K$107,0)+IF((AND($G18&gt;=$H$7,$G18&lt;=$I$7)),K$108,0)+IF((AND($G18&gt;=$H$8,$G18&lt;=$I$8)),K$109,0)+IF((AND($G18&gt;=$H$9,$G18&lt;=$I$9)),K$110,0)+IF((AND($G18&gt;=$H$10,$G18&lt;=$I$10)),K$111,0)+IF((AND($G18&gt;=$H$11,$G18&lt;=$I$11)),K$112,0))</f>
        <v>967091.33333333337</v>
      </c>
      <c r="L18" s="428">
        <f>(IF((AND($G18&gt;=$H$5,$G18&lt;=$I$5)),L$106,0)+IF((AND($G18&gt;=$H$6,$G18&lt;=$I$6)),L$107,0)+IF((AND($G18&gt;=$H$7,$G18&lt;=$I$7)),L$108,0)+IF((AND($G18&gt;=$H$8,$G18&lt;=$I$8)),L$109,0)+IF((AND($G18&gt;=$H$9,$G18&lt;=$I$9)),L$110,0)+IF((AND($G18&gt;=$H$10,$G18&lt;=$I$10)),L$111,0)+IF((AND($G18&gt;=$H$11,$G18&lt;=$I$11)),L$112,0))</f>
        <v>1319613.3333333333</v>
      </c>
    </row>
    <row r="19" spans="1:12" x14ac:dyDescent="0.2">
      <c r="A19" s="107">
        <v>2</v>
      </c>
      <c r="B19" s="107">
        <f t="shared" ref="B19:B82" si="5">2016+A19</f>
        <v>2018</v>
      </c>
      <c r="C19" s="430"/>
      <c r="D19" s="431">
        <f t="shared" si="4"/>
        <v>1073166.6666666667</v>
      </c>
      <c r="E19" s="431">
        <f t="shared" si="4"/>
        <v>1408333.3333333333</v>
      </c>
      <c r="F19" s="431">
        <f t="shared" si="4"/>
        <v>1825416.6666666667</v>
      </c>
      <c r="G19" s="107">
        <v>2</v>
      </c>
      <c r="H19" s="107">
        <f t="shared" ref="H19:H82" si="6">2016+G19</f>
        <v>2018</v>
      </c>
      <c r="I19" s="107"/>
      <c r="J19" s="431">
        <f t="shared" ref="J19:L34" si="7">(IF((AND($G19&gt;=$H$5,$G19&lt;=$I$5)),J$106,0)+IF((AND($G19&gt;=$H$6,$G19&lt;=$I$6)),J$107,0)+IF((AND($G19&gt;=$H$7,$G19&lt;=$I$7)),J$108,0)+IF((AND($G19&gt;=$H$8,$G19&lt;=$I$8)),J$109,0)+IF((AND($G19&gt;=$H$9,$G19&lt;=$I$9)),J$110,0)+IF((AND($G19&gt;=$H$10,$G19&lt;=$I$10)),J$111,0)+IF((AND($G19&gt;=$H$11,$G19&lt;=$I$11)),J$112,0))</f>
        <v>638545.33333333337</v>
      </c>
      <c r="K19" s="431">
        <f t="shared" si="7"/>
        <v>967091.33333333337</v>
      </c>
      <c r="L19" s="431">
        <f t="shared" si="7"/>
        <v>1319613.3333333333</v>
      </c>
    </row>
    <row r="20" spans="1:12" x14ac:dyDescent="0.2">
      <c r="A20" s="107">
        <v>3</v>
      </c>
      <c r="B20" s="107">
        <f t="shared" si="5"/>
        <v>2019</v>
      </c>
      <c r="C20" s="430"/>
      <c r="D20" s="431">
        <f t="shared" si="4"/>
        <v>1073166.6666666667</v>
      </c>
      <c r="E20" s="431">
        <f t="shared" si="4"/>
        <v>1408333.3333333333</v>
      </c>
      <c r="F20" s="431">
        <f t="shared" si="4"/>
        <v>1825416.6666666667</v>
      </c>
      <c r="G20" s="107">
        <v>3</v>
      </c>
      <c r="H20" s="107">
        <f t="shared" si="6"/>
        <v>2019</v>
      </c>
      <c r="I20" s="107"/>
      <c r="J20" s="431">
        <f t="shared" si="7"/>
        <v>638545.33333333337</v>
      </c>
      <c r="K20" s="431">
        <f t="shared" si="7"/>
        <v>967091.33333333337</v>
      </c>
      <c r="L20" s="431">
        <f t="shared" si="7"/>
        <v>1319613.3333333333</v>
      </c>
    </row>
    <row r="21" spans="1:12" x14ac:dyDescent="0.2">
      <c r="A21" s="107">
        <v>4</v>
      </c>
      <c r="B21" s="107">
        <f t="shared" si="5"/>
        <v>2020</v>
      </c>
      <c r="C21" s="430"/>
      <c r="D21" s="431">
        <f t="shared" si="4"/>
        <v>1073166.6666666667</v>
      </c>
      <c r="E21" s="431">
        <f t="shared" si="4"/>
        <v>1408333.3333333333</v>
      </c>
      <c r="F21" s="431">
        <f t="shared" si="4"/>
        <v>1825416.6666666667</v>
      </c>
      <c r="G21" s="107">
        <v>4</v>
      </c>
      <c r="H21" s="107">
        <f t="shared" si="6"/>
        <v>2020</v>
      </c>
      <c r="I21" s="107"/>
      <c r="J21" s="431">
        <f t="shared" si="7"/>
        <v>638545.33333333337</v>
      </c>
      <c r="K21" s="431">
        <f t="shared" si="7"/>
        <v>967091.33333333337</v>
      </c>
      <c r="L21" s="431">
        <f t="shared" si="7"/>
        <v>1319613.3333333333</v>
      </c>
    </row>
    <row r="22" spans="1:12" x14ac:dyDescent="0.2">
      <c r="A22" s="107">
        <v>5</v>
      </c>
      <c r="B22" s="107">
        <f t="shared" si="5"/>
        <v>2021</v>
      </c>
      <c r="C22" s="430"/>
      <c r="D22" s="431">
        <f t="shared" si="4"/>
        <v>1073166.6666666667</v>
      </c>
      <c r="E22" s="431">
        <f t="shared" si="4"/>
        <v>1408333.3333333333</v>
      </c>
      <c r="F22" s="431">
        <f t="shared" si="4"/>
        <v>1825416.6666666667</v>
      </c>
      <c r="G22" s="107">
        <v>5</v>
      </c>
      <c r="H22" s="107">
        <f t="shared" si="6"/>
        <v>2021</v>
      </c>
      <c r="I22" s="107"/>
      <c r="J22" s="431">
        <f t="shared" si="7"/>
        <v>638545.33333333337</v>
      </c>
      <c r="K22" s="431">
        <f t="shared" si="7"/>
        <v>967091.33333333337</v>
      </c>
      <c r="L22" s="431">
        <f t="shared" si="7"/>
        <v>1319613.3333333333</v>
      </c>
    </row>
    <row r="23" spans="1:12" x14ac:dyDescent="0.2">
      <c r="A23" s="107">
        <v>6</v>
      </c>
      <c r="B23" s="107">
        <f t="shared" si="5"/>
        <v>2022</v>
      </c>
      <c r="C23" s="430"/>
      <c r="D23" s="431">
        <f t="shared" si="4"/>
        <v>1251200</v>
      </c>
      <c r="E23" s="431">
        <f t="shared" si="4"/>
        <v>1560000</v>
      </c>
      <c r="F23" s="431">
        <f t="shared" si="4"/>
        <v>2262000</v>
      </c>
      <c r="G23" s="107">
        <v>6</v>
      </c>
      <c r="H23" s="107">
        <f t="shared" si="6"/>
        <v>2022</v>
      </c>
      <c r="I23" s="107"/>
      <c r="J23" s="431">
        <f t="shared" si="7"/>
        <v>8525640</v>
      </c>
      <c r="K23" s="431">
        <f t="shared" si="7"/>
        <v>14592800</v>
      </c>
      <c r="L23" s="431">
        <f t="shared" si="7"/>
        <v>20813480</v>
      </c>
    </row>
    <row r="24" spans="1:12" x14ac:dyDescent="0.2">
      <c r="A24" s="107">
        <v>7</v>
      </c>
      <c r="B24" s="107">
        <f t="shared" si="5"/>
        <v>2023</v>
      </c>
      <c r="C24" s="430"/>
      <c r="D24" s="431">
        <f t="shared" si="4"/>
        <v>1251200</v>
      </c>
      <c r="E24" s="431">
        <f t="shared" si="4"/>
        <v>1560000</v>
      </c>
      <c r="F24" s="431">
        <f t="shared" si="4"/>
        <v>2262000</v>
      </c>
      <c r="G24" s="107">
        <v>7</v>
      </c>
      <c r="H24" s="107">
        <f t="shared" si="6"/>
        <v>2023</v>
      </c>
      <c r="I24" s="107"/>
      <c r="J24" s="431">
        <f t="shared" si="7"/>
        <v>8525640</v>
      </c>
      <c r="K24" s="431">
        <f t="shared" si="7"/>
        <v>14592800</v>
      </c>
      <c r="L24" s="431">
        <f t="shared" si="7"/>
        <v>20813480</v>
      </c>
    </row>
    <row r="25" spans="1:12" x14ac:dyDescent="0.2">
      <c r="A25" s="107">
        <v>8</v>
      </c>
      <c r="B25" s="107">
        <f t="shared" si="5"/>
        <v>2024</v>
      </c>
      <c r="C25" s="430"/>
      <c r="D25" s="431">
        <f t="shared" si="4"/>
        <v>1251200</v>
      </c>
      <c r="E25" s="431">
        <f t="shared" si="4"/>
        <v>1560000</v>
      </c>
      <c r="F25" s="431">
        <f t="shared" si="4"/>
        <v>2262000</v>
      </c>
      <c r="G25" s="107">
        <v>8</v>
      </c>
      <c r="H25" s="107">
        <f t="shared" si="6"/>
        <v>2024</v>
      </c>
      <c r="I25" s="107"/>
      <c r="J25" s="431">
        <f t="shared" si="7"/>
        <v>8525640</v>
      </c>
      <c r="K25" s="431">
        <f t="shared" si="7"/>
        <v>14592800</v>
      </c>
      <c r="L25" s="431">
        <f t="shared" si="7"/>
        <v>20813480</v>
      </c>
    </row>
    <row r="26" spans="1:12" s="326" customFormat="1" x14ac:dyDescent="0.2">
      <c r="A26" s="107">
        <v>9</v>
      </c>
      <c r="B26" s="107">
        <f t="shared" si="5"/>
        <v>2025</v>
      </c>
      <c r="C26" s="430"/>
      <c r="D26" s="431">
        <f t="shared" si="4"/>
        <v>1251200</v>
      </c>
      <c r="E26" s="431">
        <f t="shared" si="4"/>
        <v>1560000</v>
      </c>
      <c r="F26" s="431">
        <f t="shared" si="4"/>
        <v>2262000</v>
      </c>
      <c r="G26" s="107">
        <v>9</v>
      </c>
      <c r="H26" s="107">
        <f t="shared" si="6"/>
        <v>2025</v>
      </c>
      <c r="I26" s="432"/>
      <c r="J26" s="431">
        <f t="shared" si="7"/>
        <v>8525640</v>
      </c>
      <c r="K26" s="431">
        <f t="shared" si="7"/>
        <v>14592800</v>
      </c>
      <c r="L26" s="431">
        <f t="shared" si="7"/>
        <v>20813480</v>
      </c>
    </row>
    <row r="27" spans="1:12" s="326" customFormat="1" x14ac:dyDescent="0.2">
      <c r="A27" s="107">
        <v>10</v>
      </c>
      <c r="B27" s="107">
        <f t="shared" si="5"/>
        <v>2026</v>
      </c>
      <c r="C27" s="430"/>
      <c r="D27" s="431">
        <f t="shared" si="4"/>
        <v>1284180.243902439</v>
      </c>
      <c r="E27" s="431">
        <f t="shared" si="4"/>
        <v>1603280.487804878</v>
      </c>
      <c r="F27" s="431">
        <f t="shared" si="4"/>
        <v>2318098.1707317075</v>
      </c>
      <c r="G27" s="107">
        <v>10</v>
      </c>
      <c r="H27" s="107">
        <f t="shared" si="6"/>
        <v>2026</v>
      </c>
      <c r="I27" s="432"/>
      <c r="J27" s="431">
        <f t="shared" si="7"/>
        <v>8545263.5882926825</v>
      </c>
      <c r="K27" s="431">
        <f t="shared" si="7"/>
        <v>14622520.367804877</v>
      </c>
      <c r="L27" s="431">
        <f t="shared" si="7"/>
        <v>20854033.970731709</v>
      </c>
    </row>
    <row r="28" spans="1:12" s="326" customFormat="1" x14ac:dyDescent="0.2">
      <c r="A28" s="107">
        <v>11</v>
      </c>
      <c r="B28" s="107">
        <f t="shared" si="5"/>
        <v>2027</v>
      </c>
      <c r="C28" s="430"/>
      <c r="D28" s="431">
        <f t="shared" si="4"/>
        <v>3721680.2439024393</v>
      </c>
      <c r="E28" s="431">
        <f t="shared" si="4"/>
        <v>4853280.4878048785</v>
      </c>
      <c r="F28" s="431">
        <f t="shared" si="4"/>
        <v>6380598.1707317075</v>
      </c>
      <c r="G28" s="107">
        <v>11</v>
      </c>
      <c r="H28" s="107">
        <f t="shared" si="6"/>
        <v>2027</v>
      </c>
      <c r="I28" s="432"/>
      <c r="J28" s="431">
        <f t="shared" si="7"/>
        <v>1107763.588292683</v>
      </c>
      <c r="K28" s="431">
        <f t="shared" si="7"/>
        <v>1372520.3678048782</v>
      </c>
      <c r="L28" s="431">
        <f t="shared" si="7"/>
        <v>1791533.9707317073</v>
      </c>
    </row>
    <row r="29" spans="1:12" x14ac:dyDescent="0.2">
      <c r="A29" s="107">
        <v>12</v>
      </c>
      <c r="B29" s="107">
        <f t="shared" si="5"/>
        <v>2028</v>
      </c>
      <c r="C29" s="430"/>
      <c r="D29" s="431">
        <f t="shared" si="4"/>
        <v>3721680.2439024393</v>
      </c>
      <c r="E29" s="431">
        <f t="shared" si="4"/>
        <v>4853280.4878048785</v>
      </c>
      <c r="F29" s="431">
        <f t="shared" si="4"/>
        <v>6380598.1707317075</v>
      </c>
      <c r="G29" s="107">
        <v>12</v>
      </c>
      <c r="H29" s="107">
        <f t="shared" si="6"/>
        <v>2028</v>
      </c>
      <c r="I29" s="107"/>
      <c r="J29" s="431">
        <f t="shared" si="7"/>
        <v>1107763.588292683</v>
      </c>
      <c r="K29" s="431">
        <f t="shared" si="7"/>
        <v>1372520.3678048782</v>
      </c>
      <c r="L29" s="431">
        <f t="shared" si="7"/>
        <v>1791533.9707317073</v>
      </c>
    </row>
    <row r="30" spans="1:12" x14ac:dyDescent="0.2">
      <c r="A30" s="107">
        <v>13</v>
      </c>
      <c r="B30" s="107">
        <f t="shared" si="5"/>
        <v>2029</v>
      </c>
      <c r="C30" s="430"/>
      <c r="D30" s="431">
        <f t="shared" si="4"/>
        <v>3721680.2439024393</v>
      </c>
      <c r="E30" s="431">
        <f t="shared" si="4"/>
        <v>4853280.4878048785</v>
      </c>
      <c r="F30" s="431">
        <f t="shared" si="4"/>
        <v>6380598.1707317075</v>
      </c>
      <c r="G30" s="107">
        <v>13</v>
      </c>
      <c r="H30" s="107">
        <f t="shared" si="6"/>
        <v>2029</v>
      </c>
      <c r="I30" s="107"/>
      <c r="J30" s="431">
        <f t="shared" si="7"/>
        <v>1107763.588292683</v>
      </c>
      <c r="K30" s="431">
        <f t="shared" si="7"/>
        <v>1372520.3678048782</v>
      </c>
      <c r="L30" s="431">
        <f t="shared" si="7"/>
        <v>1791533.9707317073</v>
      </c>
    </row>
    <row r="31" spans="1:12" x14ac:dyDescent="0.2">
      <c r="A31" s="107">
        <v>14</v>
      </c>
      <c r="B31" s="107">
        <f t="shared" si="5"/>
        <v>2030</v>
      </c>
      <c r="C31" s="430"/>
      <c r="D31" s="431">
        <f t="shared" si="4"/>
        <v>3721680.2439024393</v>
      </c>
      <c r="E31" s="431">
        <f t="shared" si="4"/>
        <v>4853280.4878048785</v>
      </c>
      <c r="F31" s="431">
        <f t="shared" si="4"/>
        <v>6380598.1707317075</v>
      </c>
      <c r="G31" s="107">
        <v>14</v>
      </c>
      <c r="H31" s="107">
        <f t="shared" si="6"/>
        <v>2030</v>
      </c>
      <c r="I31" s="107"/>
      <c r="J31" s="431">
        <f t="shared" si="7"/>
        <v>1107763.588292683</v>
      </c>
      <c r="K31" s="431">
        <f t="shared" si="7"/>
        <v>1372520.3678048782</v>
      </c>
      <c r="L31" s="431">
        <f t="shared" si="7"/>
        <v>1791533.9707317073</v>
      </c>
    </row>
    <row r="32" spans="1:12" x14ac:dyDescent="0.2">
      <c r="A32" s="107">
        <v>15</v>
      </c>
      <c r="B32" s="107">
        <f t="shared" si="5"/>
        <v>2031</v>
      </c>
      <c r="C32" s="430"/>
      <c r="D32" s="431">
        <f t="shared" si="4"/>
        <v>3721680.2439024393</v>
      </c>
      <c r="E32" s="431">
        <f t="shared" si="4"/>
        <v>4853280.4878048785</v>
      </c>
      <c r="F32" s="431">
        <f t="shared" si="4"/>
        <v>6380598.1707317075</v>
      </c>
      <c r="G32" s="107">
        <v>15</v>
      </c>
      <c r="H32" s="107">
        <f t="shared" si="6"/>
        <v>2031</v>
      </c>
      <c r="I32" s="107"/>
      <c r="J32" s="431">
        <f t="shared" si="7"/>
        <v>1107763.588292683</v>
      </c>
      <c r="K32" s="431">
        <f t="shared" si="7"/>
        <v>1372520.3678048782</v>
      </c>
      <c r="L32" s="431">
        <f t="shared" si="7"/>
        <v>1791533.9707317073</v>
      </c>
    </row>
    <row r="33" spans="1:12" s="326" customFormat="1" x14ac:dyDescent="0.2">
      <c r="A33" s="107">
        <v>16</v>
      </c>
      <c r="B33" s="107">
        <f t="shared" si="5"/>
        <v>2032</v>
      </c>
      <c r="C33" s="430"/>
      <c r="D33" s="431">
        <f t="shared" si="4"/>
        <v>3721680.2439024393</v>
      </c>
      <c r="E33" s="431">
        <f t="shared" si="4"/>
        <v>4853280.4878048785</v>
      </c>
      <c r="F33" s="431">
        <f t="shared" si="4"/>
        <v>6380598.1707317075</v>
      </c>
      <c r="G33" s="107">
        <v>16</v>
      </c>
      <c r="H33" s="107">
        <f t="shared" si="6"/>
        <v>2032</v>
      </c>
      <c r="I33" s="432"/>
      <c r="J33" s="431">
        <f t="shared" si="7"/>
        <v>1107763.588292683</v>
      </c>
      <c r="K33" s="431">
        <f t="shared" si="7"/>
        <v>1372520.3678048782</v>
      </c>
      <c r="L33" s="431">
        <f t="shared" si="7"/>
        <v>1791533.9707317073</v>
      </c>
    </row>
    <row r="34" spans="1:12" x14ac:dyDescent="0.2">
      <c r="A34" s="107">
        <v>17</v>
      </c>
      <c r="B34" s="107">
        <f t="shared" si="5"/>
        <v>2033</v>
      </c>
      <c r="C34" s="430"/>
      <c r="D34" s="431">
        <f t="shared" si="4"/>
        <v>3721680.2439024393</v>
      </c>
      <c r="E34" s="431">
        <f t="shared" si="4"/>
        <v>4853280.4878048785</v>
      </c>
      <c r="F34" s="431">
        <f t="shared" si="4"/>
        <v>6380598.1707317075</v>
      </c>
      <c r="G34" s="107">
        <v>17</v>
      </c>
      <c r="H34" s="107">
        <f t="shared" si="6"/>
        <v>2033</v>
      </c>
      <c r="I34" s="107"/>
      <c r="J34" s="431">
        <f t="shared" si="7"/>
        <v>1107763.588292683</v>
      </c>
      <c r="K34" s="431">
        <f t="shared" si="7"/>
        <v>1372520.3678048782</v>
      </c>
      <c r="L34" s="431">
        <f t="shared" si="7"/>
        <v>1791533.9707317073</v>
      </c>
    </row>
    <row r="35" spans="1:12" s="434" customFormat="1" x14ac:dyDescent="0.2">
      <c r="A35" s="107">
        <v>18</v>
      </c>
      <c r="B35" s="107">
        <f t="shared" si="5"/>
        <v>2034</v>
      </c>
      <c r="C35" s="430"/>
      <c r="D35" s="431">
        <f t="shared" si="4"/>
        <v>3721680.2439024393</v>
      </c>
      <c r="E35" s="431">
        <f t="shared" si="4"/>
        <v>4853280.4878048785</v>
      </c>
      <c r="F35" s="431">
        <f t="shared" si="4"/>
        <v>6380598.1707317075</v>
      </c>
      <c r="G35" s="107">
        <v>18</v>
      </c>
      <c r="H35" s="107">
        <f t="shared" si="6"/>
        <v>2034</v>
      </c>
      <c r="I35" s="433"/>
      <c r="J35" s="431">
        <f t="shared" ref="J35:L67" si="8">(IF((AND($G35&gt;=$H$5,$G35&lt;=$I$5)),J$106,0)+IF((AND($G35&gt;=$H$6,$G35&lt;=$I$6)),J$107,0)+IF((AND($G35&gt;=$H$7,$G35&lt;=$I$7)),J$108,0)+IF((AND($G35&gt;=$H$8,$G35&lt;=$I$8)),J$109,0)+IF((AND($G35&gt;=$H$9,$G35&lt;=$I$9)),J$110,0)+IF((AND($G35&gt;=$H$10,$G35&lt;=$I$10)),J$111,0)+IF((AND($G35&gt;=$H$11,$G35&lt;=$I$11)),J$112,0))</f>
        <v>1107763.588292683</v>
      </c>
      <c r="K35" s="431">
        <f t="shared" si="8"/>
        <v>1372520.3678048782</v>
      </c>
      <c r="L35" s="431">
        <f t="shared" si="8"/>
        <v>1791533.9707317073</v>
      </c>
    </row>
    <row r="36" spans="1:12" s="434" customFormat="1" x14ac:dyDescent="0.2">
      <c r="A36" s="107">
        <v>19</v>
      </c>
      <c r="B36" s="107">
        <f t="shared" si="5"/>
        <v>2035</v>
      </c>
      <c r="C36" s="430"/>
      <c r="D36" s="431">
        <f t="shared" si="4"/>
        <v>3721680.2439024393</v>
      </c>
      <c r="E36" s="431">
        <f t="shared" si="4"/>
        <v>4853280.4878048785</v>
      </c>
      <c r="F36" s="431">
        <f t="shared" si="4"/>
        <v>6380598.1707317075</v>
      </c>
      <c r="G36" s="107">
        <v>19</v>
      </c>
      <c r="H36" s="107">
        <f t="shared" si="6"/>
        <v>2035</v>
      </c>
      <c r="I36" s="433"/>
      <c r="J36" s="431">
        <f t="shared" si="8"/>
        <v>1107763.588292683</v>
      </c>
      <c r="K36" s="431">
        <f t="shared" si="8"/>
        <v>1372520.3678048782</v>
      </c>
      <c r="L36" s="431">
        <f t="shared" si="8"/>
        <v>1791533.9707317073</v>
      </c>
    </row>
    <row r="37" spans="1:12" s="434" customFormat="1" x14ac:dyDescent="0.2">
      <c r="A37" s="107">
        <v>20</v>
      </c>
      <c r="B37" s="107">
        <f t="shared" si="5"/>
        <v>2036</v>
      </c>
      <c r="C37" s="430"/>
      <c r="D37" s="431">
        <f t="shared" si="4"/>
        <v>3721680.2439024393</v>
      </c>
      <c r="E37" s="431">
        <f t="shared" si="4"/>
        <v>4853280.4878048785</v>
      </c>
      <c r="F37" s="431">
        <f t="shared" si="4"/>
        <v>6380598.1707317075</v>
      </c>
      <c r="G37" s="107">
        <v>20</v>
      </c>
      <c r="H37" s="107">
        <f t="shared" si="6"/>
        <v>2036</v>
      </c>
      <c r="I37" s="433"/>
      <c r="J37" s="431">
        <f t="shared" si="8"/>
        <v>1107763.588292683</v>
      </c>
      <c r="K37" s="431">
        <f t="shared" si="8"/>
        <v>1372520.3678048782</v>
      </c>
      <c r="L37" s="431">
        <f t="shared" si="8"/>
        <v>1791533.9707317073</v>
      </c>
    </row>
    <row r="38" spans="1:12" x14ac:dyDescent="0.2">
      <c r="A38" s="107">
        <v>21</v>
      </c>
      <c r="B38" s="107">
        <f t="shared" si="5"/>
        <v>2037</v>
      </c>
      <c r="C38" s="430"/>
      <c r="D38" s="431">
        <f t="shared" ref="D38:F57" si="9">(IF((AND($A38&gt;=$B$5,$A38&lt;=$C$5)),D$106,0)+IF((AND($A38&gt;=$B$6,$A38&lt;=$C$6)),D$107,0)+IF((AND($A38&gt;=$B$7,$A38&lt;=$C$7)),D$108,0)+IF((AND($A38&gt;=$B$8,$A38&lt;=$C$8)),D$109,0)+IF((AND($A38&gt;=$B$10,$A38&lt;=$C$10)),D$111,0)+IF((AND($A38&gt;=$B$11,$A38&lt;=$C$11)),D$112,0))</f>
        <v>3721680.2439024393</v>
      </c>
      <c r="E38" s="431">
        <f t="shared" si="9"/>
        <v>4853280.4878048785</v>
      </c>
      <c r="F38" s="431">
        <f t="shared" si="9"/>
        <v>6380598.1707317075</v>
      </c>
      <c r="G38" s="107">
        <v>21</v>
      </c>
      <c r="H38" s="107">
        <f t="shared" si="6"/>
        <v>2037</v>
      </c>
      <c r="I38" s="107"/>
      <c r="J38" s="431">
        <f t="shared" si="8"/>
        <v>1830291.588292683</v>
      </c>
      <c r="K38" s="431">
        <f t="shared" si="8"/>
        <v>2211512.3678048779</v>
      </c>
      <c r="L38" s="431">
        <f t="shared" si="8"/>
        <v>2708333.9707317073</v>
      </c>
    </row>
    <row r="39" spans="1:12" x14ac:dyDescent="0.2">
      <c r="A39" s="107">
        <v>22</v>
      </c>
      <c r="B39" s="107">
        <f t="shared" si="5"/>
        <v>2038</v>
      </c>
      <c r="C39" s="430"/>
      <c r="D39" s="431">
        <f t="shared" si="9"/>
        <v>3721680.2439024393</v>
      </c>
      <c r="E39" s="431">
        <f t="shared" si="9"/>
        <v>4853280.4878048785</v>
      </c>
      <c r="F39" s="431">
        <f t="shared" si="9"/>
        <v>6380598.1707317075</v>
      </c>
      <c r="G39" s="107">
        <v>22</v>
      </c>
      <c r="H39" s="107">
        <f t="shared" si="6"/>
        <v>2038</v>
      </c>
      <c r="I39" s="107"/>
      <c r="J39" s="431">
        <f t="shared" si="8"/>
        <v>1830291.588292683</v>
      </c>
      <c r="K39" s="431">
        <f t="shared" si="8"/>
        <v>2211512.3678048779</v>
      </c>
      <c r="L39" s="431">
        <f t="shared" si="8"/>
        <v>2708333.9707317073</v>
      </c>
    </row>
    <row r="40" spans="1:12" x14ac:dyDescent="0.2">
      <c r="A40" s="107">
        <v>23</v>
      </c>
      <c r="B40" s="107">
        <f t="shared" si="5"/>
        <v>2039</v>
      </c>
      <c r="C40" s="430"/>
      <c r="D40" s="431">
        <f t="shared" si="9"/>
        <v>3721680.2439024393</v>
      </c>
      <c r="E40" s="431">
        <f t="shared" si="9"/>
        <v>4853280.4878048785</v>
      </c>
      <c r="F40" s="431">
        <f t="shared" si="9"/>
        <v>6380598.1707317075</v>
      </c>
      <c r="G40" s="107">
        <v>23</v>
      </c>
      <c r="H40" s="107">
        <f t="shared" si="6"/>
        <v>2039</v>
      </c>
      <c r="I40" s="107"/>
      <c r="J40" s="431">
        <f t="shared" si="8"/>
        <v>1830291.588292683</v>
      </c>
      <c r="K40" s="431">
        <f t="shared" si="8"/>
        <v>2211512.3678048779</v>
      </c>
      <c r="L40" s="431">
        <f t="shared" si="8"/>
        <v>2708333.9707317073</v>
      </c>
    </row>
    <row r="41" spans="1:12" x14ac:dyDescent="0.2">
      <c r="A41" s="107">
        <v>24</v>
      </c>
      <c r="B41" s="107">
        <f t="shared" si="5"/>
        <v>2040</v>
      </c>
      <c r="C41" s="430"/>
      <c r="D41" s="431">
        <f t="shared" si="9"/>
        <v>3721680.2439024393</v>
      </c>
      <c r="E41" s="431">
        <f t="shared" si="9"/>
        <v>4853280.4878048785</v>
      </c>
      <c r="F41" s="431">
        <f t="shared" si="9"/>
        <v>6380598.1707317075</v>
      </c>
      <c r="G41" s="107">
        <v>24</v>
      </c>
      <c r="H41" s="107">
        <f t="shared" si="6"/>
        <v>2040</v>
      </c>
      <c r="I41" s="107"/>
      <c r="J41" s="431">
        <f t="shared" si="8"/>
        <v>1830291.588292683</v>
      </c>
      <c r="K41" s="431">
        <f t="shared" si="8"/>
        <v>2211512.3678048779</v>
      </c>
      <c r="L41" s="431">
        <f t="shared" si="8"/>
        <v>2708333.9707317073</v>
      </c>
    </row>
    <row r="42" spans="1:12" x14ac:dyDescent="0.2">
      <c r="A42" s="107">
        <v>25</v>
      </c>
      <c r="B42" s="107">
        <f t="shared" si="5"/>
        <v>2041</v>
      </c>
      <c r="C42" s="430"/>
      <c r="D42" s="431">
        <f t="shared" si="9"/>
        <v>3721680.2439024393</v>
      </c>
      <c r="E42" s="431">
        <f t="shared" si="9"/>
        <v>4853280.4878048785</v>
      </c>
      <c r="F42" s="431">
        <f t="shared" si="9"/>
        <v>6380598.1707317075</v>
      </c>
      <c r="G42" s="107">
        <v>25</v>
      </c>
      <c r="H42" s="107">
        <f t="shared" si="6"/>
        <v>2041</v>
      </c>
      <c r="I42" s="107"/>
      <c r="J42" s="431">
        <f t="shared" si="8"/>
        <v>1830291.588292683</v>
      </c>
      <c r="K42" s="431">
        <f t="shared" si="8"/>
        <v>2211512.3678048779</v>
      </c>
      <c r="L42" s="431">
        <f t="shared" si="8"/>
        <v>2708333.9707317073</v>
      </c>
    </row>
    <row r="43" spans="1:12" s="434" customFormat="1" x14ac:dyDescent="0.2">
      <c r="A43" s="107">
        <v>26</v>
      </c>
      <c r="B43" s="107">
        <f t="shared" si="5"/>
        <v>2042</v>
      </c>
      <c r="C43" s="430"/>
      <c r="D43" s="431">
        <f t="shared" si="9"/>
        <v>3721680.2439024393</v>
      </c>
      <c r="E43" s="431">
        <f t="shared" si="9"/>
        <v>4853280.4878048785</v>
      </c>
      <c r="F43" s="431">
        <f t="shared" si="9"/>
        <v>6380598.1707317075</v>
      </c>
      <c r="G43" s="107">
        <v>26</v>
      </c>
      <c r="H43" s="107">
        <f t="shared" si="6"/>
        <v>2042</v>
      </c>
      <c r="I43" s="433"/>
      <c r="J43" s="431">
        <f t="shared" si="8"/>
        <v>582123.58829268289</v>
      </c>
      <c r="K43" s="431">
        <f t="shared" si="8"/>
        <v>779720.36780487804</v>
      </c>
      <c r="L43" s="431">
        <f t="shared" si="8"/>
        <v>978053.97073170729</v>
      </c>
    </row>
    <row r="44" spans="1:12" s="434" customFormat="1" x14ac:dyDescent="0.2">
      <c r="A44" s="107">
        <v>27</v>
      </c>
      <c r="B44" s="107">
        <f t="shared" si="5"/>
        <v>2043</v>
      </c>
      <c r="C44" s="430"/>
      <c r="D44" s="431">
        <f t="shared" si="9"/>
        <v>3721680.2439024393</v>
      </c>
      <c r="E44" s="431">
        <f t="shared" si="9"/>
        <v>4853280.4878048785</v>
      </c>
      <c r="F44" s="431">
        <f t="shared" si="9"/>
        <v>6380598.1707317075</v>
      </c>
      <c r="G44" s="107">
        <v>27</v>
      </c>
      <c r="H44" s="107">
        <f t="shared" si="6"/>
        <v>2043</v>
      </c>
      <c r="I44" s="433"/>
      <c r="J44" s="431">
        <f t="shared" si="8"/>
        <v>582123.58829268289</v>
      </c>
      <c r="K44" s="431">
        <f t="shared" si="8"/>
        <v>779720.36780487804</v>
      </c>
      <c r="L44" s="431">
        <f t="shared" si="8"/>
        <v>978053.97073170729</v>
      </c>
    </row>
    <row r="45" spans="1:12" x14ac:dyDescent="0.2">
      <c r="A45" s="107">
        <v>28</v>
      </c>
      <c r="B45" s="107">
        <f t="shared" si="5"/>
        <v>2044</v>
      </c>
      <c r="C45" s="430"/>
      <c r="D45" s="431">
        <f t="shared" si="9"/>
        <v>3721680.2439024393</v>
      </c>
      <c r="E45" s="431">
        <f t="shared" si="9"/>
        <v>4853280.4878048785</v>
      </c>
      <c r="F45" s="431">
        <f t="shared" si="9"/>
        <v>6380598.1707317075</v>
      </c>
      <c r="G45" s="107">
        <v>28</v>
      </c>
      <c r="H45" s="107">
        <f t="shared" si="6"/>
        <v>2044</v>
      </c>
      <c r="I45" s="107"/>
      <c r="J45" s="431">
        <f t="shared" si="8"/>
        <v>582123.58829268289</v>
      </c>
      <c r="K45" s="431">
        <f t="shared" si="8"/>
        <v>779720.36780487804</v>
      </c>
      <c r="L45" s="431">
        <f t="shared" si="8"/>
        <v>978053.97073170729</v>
      </c>
    </row>
    <row r="46" spans="1:12" x14ac:dyDescent="0.2">
      <c r="A46" s="107">
        <v>29</v>
      </c>
      <c r="B46" s="107">
        <f t="shared" si="5"/>
        <v>2045</v>
      </c>
      <c r="C46" s="430"/>
      <c r="D46" s="431">
        <f t="shared" si="9"/>
        <v>3721680.2439024393</v>
      </c>
      <c r="E46" s="431">
        <f t="shared" si="9"/>
        <v>4853280.4878048785</v>
      </c>
      <c r="F46" s="431">
        <f t="shared" si="9"/>
        <v>6380598.1707317075</v>
      </c>
      <c r="G46" s="107">
        <v>29</v>
      </c>
      <c r="H46" s="107">
        <f t="shared" si="6"/>
        <v>2045</v>
      </c>
      <c r="I46" s="107"/>
      <c r="J46" s="431">
        <f t="shared" si="8"/>
        <v>582123.58829268289</v>
      </c>
      <c r="K46" s="431">
        <f t="shared" si="8"/>
        <v>779720.36780487804</v>
      </c>
      <c r="L46" s="431">
        <f t="shared" si="8"/>
        <v>978053.97073170729</v>
      </c>
    </row>
    <row r="47" spans="1:12" x14ac:dyDescent="0.2">
      <c r="A47" s="107">
        <v>30</v>
      </c>
      <c r="B47" s="107">
        <f t="shared" si="5"/>
        <v>2046</v>
      </c>
      <c r="C47" s="430"/>
      <c r="D47" s="431">
        <f t="shared" si="9"/>
        <v>3721680.2439024393</v>
      </c>
      <c r="E47" s="431">
        <f t="shared" si="9"/>
        <v>4853280.4878048785</v>
      </c>
      <c r="F47" s="431">
        <f t="shared" si="9"/>
        <v>6380598.1707317075</v>
      </c>
      <c r="G47" s="107">
        <v>30</v>
      </c>
      <c r="H47" s="107">
        <f t="shared" si="6"/>
        <v>2046</v>
      </c>
      <c r="I47" s="107"/>
      <c r="J47" s="431">
        <f t="shared" si="8"/>
        <v>582123.58829268289</v>
      </c>
      <c r="K47" s="431">
        <f t="shared" si="8"/>
        <v>779720.36780487804</v>
      </c>
      <c r="L47" s="431">
        <f t="shared" si="8"/>
        <v>978053.97073170729</v>
      </c>
    </row>
    <row r="48" spans="1:12" x14ac:dyDescent="0.2">
      <c r="A48" s="107">
        <v>31</v>
      </c>
      <c r="B48" s="107">
        <f t="shared" si="5"/>
        <v>2047</v>
      </c>
      <c r="C48" s="430"/>
      <c r="D48" s="431">
        <f t="shared" si="9"/>
        <v>2470480.2439024393</v>
      </c>
      <c r="E48" s="431">
        <f t="shared" si="9"/>
        <v>3293280.487804878</v>
      </c>
      <c r="F48" s="431">
        <f t="shared" si="9"/>
        <v>4118598.1707317075</v>
      </c>
      <c r="G48" s="107">
        <v>31</v>
      </c>
      <c r="H48" s="107">
        <f t="shared" si="6"/>
        <v>2047</v>
      </c>
      <c r="I48" s="107"/>
      <c r="J48" s="431">
        <f t="shared" si="8"/>
        <v>582123.58829268289</v>
      </c>
      <c r="K48" s="431">
        <f t="shared" si="8"/>
        <v>779720.36780487804</v>
      </c>
      <c r="L48" s="431">
        <f t="shared" si="8"/>
        <v>978053.97073170729</v>
      </c>
    </row>
    <row r="49" spans="1:12" x14ac:dyDescent="0.2">
      <c r="A49" s="107">
        <v>32</v>
      </c>
      <c r="B49" s="107">
        <f t="shared" si="5"/>
        <v>2048</v>
      </c>
      <c r="C49" s="430"/>
      <c r="D49" s="431">
        <f t="shared" si="9"/>
        <v>2470480.2439024393</v>
      </c>
      <c r="E49" s="431">
        <f t="shared" si="9"/>
        <v>3293280.487804878</v>
      </c>
      <c r="F49" s="431">
        <f t="shared" si="9"/>
        <v>4118598.1707317075</v>
      </c>
      <c r="G49" s="107">
        <v>32</v>
      </c>
      <c r="H49" s="107">
        <f t="shared" si="6"/>
        <v>2048</v>
      </c>
      <c r="I49" s="107"/>
      <c r="J49" s="431">
        <f t="shared" si="8"/>
        <v>582123.58829268289</v>
      </c>
      <c r="K49" s="431">
        <f t="shared" si="8"/>
        <v>779720.36780487804</v>
      </c>
      <c r="L49" s="431">
        <f t="shared" si="8"/>
        <v>978053.97073170729</v>
      </c>
    </row>
    <row r="50" spans="1:12" x14ac:dyDescent="0.2">
      <c r="A50" s="107">
        <v>33</v>
      </c>
      <c r="B50" s="107">
        <f t="shared" si="5"/>
        <v>2049</v>
      </c>
      <c r="C50" s="430"/>
      <c r="D50" s="431">
        <f t="shared" si="9"/>
        <v>2470480.2439024393</v>
      </c>
      <c r="E50" s="431">
        <f t="shared" si="9"/>
        <v>3293280.487804878</v>
      </c>
      <c r="F50" s="431">
        <f t="shared" si="9"/>
        <v>4118598.1707317075</v>
      </c>
      <c r="G50" s="107">
        <v>33</v>
      </c>
      <c r="H50" s="107">
        <f t="shared" si="6"/>
        <v>2049</v>
      </c>
      <c r="I50" s="107"/>
      <c r="J50" s="431">
        <f t="shared" si="8"/>
        <v>582123.58829268289</v>
      </c>
      <c r="K50" s="431">
        <f t="shared" si="8"/>
        <v>779720.36780487804</v>
      </c>
      <c r="L50" s="431">
        <f t="shared" si="8"/>
        <v>978053.97073170729</v>
      </c>
    </row>
    <row r="51" spans="1:12" x14ac:dyDescent="0.2">
      <c r="A51" s="107">
        <v>34</v>
      </c>
      <c r="B51" s="107">
        <f t="shared" si="5"/>
        <v>2050</v>
      </c>
      <c r="C51" s="430"/>
      <c r="D51" s="431">
        <f t="shared" si="9"/>
        <v>2470480.2439024393</v>
      </c>
      <c r="E51" s="431">
        <f t="shared" si="9"/>
        <v>3293280.487804878</v>
      </c>
      <c r="F51" s="431">
        <f t="shared" si="9"/>
        <v>4118598.1707317075</v>
      </c>
      <c r="G51" s="107">
        <v>34</v>
      </c>
      <c r="H51" s="107">
        <f t="shared" si="6"/>
        <v>2050</v>
      </c>
      <c r="I51" s="107"/>
      <c r="J51" s="431">
        <f t="shared" si="8"/>
        <v>582123.58829268289</v>
      </c>
      <c r="K51" s="431">
        <f t="shared" si="8"/>
        <v>779720.36780487804</v>
      </c>
      <c r="L51" s="431">
        <f t="shared" si="8"/>
        <v>978053.97073170729</v>
      </c>
    </row>
    <row r="52" spans="1:12" x14ac:dyDescent="0.2">
      <c r="A52" s="107">
        <v>35</v>
      </c>
      <c r="B52" s="107">
        <f t="shared" si="5"/>
        <v>2051</v>
      </c>
      <c r="C52" s="430"/>
      <c r="D52" s="431">
        <f t="shared" si="9"/>
        <v>2470480.2439024393</v>
      </c>
      <c r="E52" s="431">
        <f t="shared" si="9"/>
        <v>3293280.487804878</v>
      </c>
      <c r="F52" s="431">
        <f t="shared" si="9"/>
        <v>4118598.1707317075</v>
      </c>
      <c r="G52" s="107">
        <v>35</v>
      </c>
      <c r="H52" s="107">
        <f t="shared" si="6"/>
        <v>2051</v>
      </c>
      <c r="I52" s="107"/>
      <c r="J52" s="431">
        <f t="shared" si="8"/>
        <v>582123.58829268289</v>
      </c>
      <c r="K52" s="431">
        <f t="shared" si="8"/>
        <v>779720.36780487804</v>
      </c>
      <c r="L52" s="431">
        <f t="shared" si="8"/>
        <v>978053.97073170729</v>
      </c>
    </row>
    <row r="53" spans="1:12" s="326" customFormat="1" x14ac:dyDescent="0.2">
      <c r="A53" s="107">
        <v>36</v>
      </c>
      <c r="B53" s="107">
        <f t="shared" si="5"/>
        <v>2052</v>
      </c>
      <c r="C53" s="430"/>
      <c r="D53" s="431">
        <f t="shared" si="9"/>
        <v>2470480.2439024393</v>
      </c>
      <c r="E53" s="431">
        <f t="shared" si="9"/>
        <v>3293280.487804878</v>
      </c>
      <c r="F53" s="431">
        <f t="shared" si="9"/>
        <v>4118598.1707317075</v>
      </c>
      <c r="G53" s="107">
        <v>36</v>
      </c>
      <c r="H53" s="107">
        <f t="shared" si="6"/>
        <v>2052</v>
      </c>
      <c r="I53" s="432"/>
      <c r="J53" s="431">
        <f t="shared" si="8"/>
        <v>582123.58829268289</v>
      </c>
      <c r="K53" s="431">
        <f t="shared" si="8"/>
        <v>779720.36780487804</v>
      </c>
      <c r="L53" s="431">
        <f t="shared" si="8"/>
        <v>978053.97073170729</v>
      </c>
    </row>
    <row r="54" spans="1:12" s="326" customFormat="1" x14ac:dyDescent="0.2">
      <c r="A54" s="107">
        <v>37</v>
      </c>
      <c r="B54" s="107">
        <f t="shared" si="5"/>
        <v>2053</v>
      </c>
      <c r="C54" s="430"/>
      <c r="D54" s="431">
        <f t="shared" si="9"/>
        <v>2470480.2439024393</v>
      </c>
      <c r="E54" s="431">
        <f t="shared" si="9"/>
        <v>3293280.487804878</v>
      </c>
      <c r="F54" s="431">
        <f t="shared" si="9"/>
        <v>4118598.1707317075</v>
      </c>
      <c r="G54" s="107">
        <v>37</v>
      </c>
      <c r="H54" s="107">
        <f t="shared" si="6"/>
        <v>2053</v>
      </c>
      <c r="I54" s="432"/>
      <c r="J54" s="431">
        <f t="shared" si="8"/>
        <v>582123.58829268289</v>
      </c>
      <c r="K54" s="431">
        <f t="shared" si="8"/>
        <v>779720.36780487804</v>
      </c>
      <c r="L54" s="431">
        <f t="shared" si="8"/>
        <v>978053.97073170729</v>
      </c>
    </row>
    <row r="55" spans="1:12" x14ac:dyDescent="0.2">
      <c r="A55" s="107">
        <v>38</v>
      </c>
      <c r="B55" s="107">
        <f t="shared" si="5"/>
        <v>2054</v>
      </c>
      <c r="C55" s="430"/>
      <c r="D55" s="431">
        <f t="shared" si="9"/>
        <v>2470480.2439024393</v>
      </c>
      <c r="E55" s="431">
        <f t="shared" si="9"/>
        <v>3293280.487804878</v>
      </c>
      <c r="F55" s="431">
        <f t="shared" si="9"/>
        <v>4118598.1707317075</v>
      </c>
      <c r="G55" s="107">
        <v>38</v>
      </c>
      <c r="H55" s="107">
        <f t="shared" si="6"/>
        <v>2054</v>
      </c>
      <c r="I55" s="107"/>
      <c r="J55" s="431">
        <f t="shared" si="8"/>
        <v>582123.58829268289</v>
      </c>
      <c r="K55" s="431">
        <f t="shared" si="8"/>
        <v>779720.36780487804</v>
      </c>
      <c r="L55" s="431">
        <f t="shared" si="8"/>
        <v>978053.97073170729</v>
      </c>
    </row>
    <row r="56" spans="1:12" x14ac:dyDescent="0.2">
      <c r="A56" s="107">
        <v>39</v>
      </c>
      <c r="B56" s="107">
        <f t="shared" si="5"/>
        <v>2055</v>
      </c>
      <c r="C56" s="430"/>
      <c r="D56" s="431">
        <f t="shared" si="9"/>
        <v>2470480.2439024393</v>
      </c>
      <c r="E56" s="431">
        <f t="shared" si="9"/>
        <v>3293280.487804878</v>
      </c>
      <c r="F56" s="431">
        <f t="shared" si="9"/>
        <v>4118598.1707317075</v>
      </c>
      <c r="G56" s="107">
        <v>39</v>
      </c>
      <c r="H56" s="107">
        <f t="shared" si="6"/>
        <v>2055</v>
      </c>
      <c r="I56" s="107"/>
      <c r="J56" s="431">
        <f t="shared" si="8"/>
        <v>582123.58829268289</v>
      </c>
      <c r="K56" s="431">
        <f t="shared" si="8"/>
        <v>779720.36780487804</v>
      </c>
      <c r="L56" s="431">
        <f t="shared" si="8"/>
        <v>978053.97073170729</v>
      </c>
    </row>
    <row r="57" spans="1:12" x14ac:dyDescent="0.2">
      <c r="A57" s="107">
        <v>40</v>
      </c>
      <c r="B57" s="107">
        <f t="shared" si="5"/>
        <v>2056</v>
      </c>
      <c r="C57" s="430"/>
      <c r="D57" s="431">
        <f t="shared" si="9"/>
        <v>2470480.2439024393</v>
      </c>
      <c r="E57" s="431">
        <f t="shared" si="9"/>
        <v>3293280.487804878</v>
      </c>
      <c r="F57" s="431">
        <f t="shared" si="9"/>
        <v>4118598.1707317075</v>
      </c>
      <c r="G57" s="107">
        <v>40</v>
      </c>
      <c r="H57" s="107">
        <f t="shared" si="6"/>
        <v>2056</v>
      </c>
      <c r="I57" s="107"/>
      <c r="J57" s="431">
        <f t="shared" si="8"/>
        <v>582123.58829268289</v>
      </c>
      <c r="K57" s="431">
        <f t="shared" si="8"/>
        <v>779720.36780487804</v>
      </c>
      <c r="L57" s="431">
        <f t="shared" si="8"/>
        <v>978053.97073170729</v>
      </c>
    </row>
    <row r="58" spans="1:12" x14ac:dyDescent="0.2">
      <c r="A58" s="107">
        <v>41</v>
      </c>
      <c r="B58" s="107">
        <f t="shared" si="5"/>
        <v>2057</v>
      </c>
      <c r="C58" s="430"/>
      <c r="D58" s="431">
        <f t="shared" ref="D58:F77" si="10">(IF((AND($A58&gt;=$B$5,$A58&lt;=$C$5)),D$106,0)+IF((AND($A58&gt;=$B$6,$A58&lt;=$C$6)),D$107,0)+IF((AND($A58&gt;=$B$7,$A58&lt;=$C$7)),D$108,0)+IF((AND($A58&gt;=$B$8,$A58&lt;=$C$8)),D$109,0)+IF((AND($A58&gt;=$B$10,$A58&lt;=$C$10)),D$111,0)+IF((AND($A58&gt;=$B$11,$A58&lt;=$C$11)),D$112,0))</f>
        <v>2470480.2439024393</v>
      </c>
      <c r="E58" s="431">
        <f t="shared" si="10"/>
        <v>3293280.487804878</v>
      </c>
      <c r="F58" s="431">
        <f t="shared" si="10"/>
        <v>4118598.1707317075</v>
      </c>
      <c r="G58" s="107">
        <v>41</v>
      </c>
      <c r="H58" s="107">
        <f t="shared" si="6"/>
        <v>2057</v>
      </c>
      <c r="I58" s="107"/>
      <c r="J58" s="431">
        <f t="shared" si="8"/>
        <v>582123.58829268289</v>
      </c>
      <c r="K58" s="431">
        <f t="shared" si="8"/>
        <v>779720.36780487804</v>
      </c>
      <c r="L58" s="431">
        <f t="shared" si="8"/>
        <v>978053.97073170729</v>
      </c>
    </row>
    <row r="59" spans="1:12" x14ac:dyDescent="0.2">
      <c r="A59" s="107">
        <v>42</v>
      </c>
      <c r="B59" s="107">
        <f t="shared" si="5"/>
        <v>2058</v>
      </c>
      <c r="C59" s="430"/>
      <c r="D59" s="431">
        <f t="shared" si="10"/>
        <v>2470480.2439024393</v>
      </c>
      <c r="E59" s="431">
        <f t="shared" si="10"/>
        <v>3293280.487804878</v>
      </c>
      <c r="F59" s="431">
        <f t="shared" si="10"/>
        <v>4118598.1707317075</v>
      </c>
      <c r="G59" s="107">
        <v>42</v>
      </c>
      <c r="H59" s="107">
        <f t="shared" si="6"/>
        <v>2058</v>
      </c>
      <c r="I59" s="107"/>
      <c r="J59" s="431">
        <f t="shared" si="8"/>
        <v>582123.58829268289</v>
      </c>
      <c r="K59" s="431">
        <f t="shared" si="8"/>
        <v>779720.36780487804</v>
      </c>
      <c r="L59" s="431">
        <f t="shared" si="8"/>
        <v>978053.97073170729</v>
      </c>
    </row>
    <row r="60" spans="1:12" x14ac:dyDescent="0.2">
      <c r="A60" s="107">
        <v>43</v>
      </c>
      <c r="B60" s="107">
        <f t="shared" si="5"/>
        <v>2059</v>
      </c>
      <c r="C60" s="430"/>
      <c r="D60" s="431">
        <f t="shared" si="10"/>
        <v>2470480.2439024393</v>
      </c>
      <c r="E60" s="431">
        <f t="shared" si="10"/>
        <v>3293280.487804878</v>
      </c>
      <c r="F60" s="431">
        <f t="shared" si="10"/>
        <v>4118598.1707317075</v>
      </c>
      <c r="G60" s="107">
        <v>43</v>
      </c>
      <c r="H60" s="107">
        <f t="shared" si="6"/>
        <v>2059</v>
      </c>
      <c r="I60" s="107"/>
      <c r="J60" s="431">
        <f t="shared" si="8"/>
        <v>582123.58829268289</v>
      </c>
      <c r="K60" s="431">
        <f t="shared" si="8"/>
        <v>779720.36780487804</v>
      </c>
      <c r="L60" s="431">
        <f t="shared" si="8"/>
        <v>978053.97073170729</v>
      </c>
    </row>
    <row r="61" spans="1:12" x14ac:dyDescent="0.2">
      <c r="A61" s="107">
        <v>44</v>
      </c>
      <c r="B61" s="107">
        <f t="shared" si="5"/>
        <v>2060</v>
      </c>
      <c r="C61" s="430"/>
      <c r="D61" s="431">
        <f t="shared" si="10"/>
        <v>2470480.2439024393</v>
      </c>
      <c r="E61" s="431">
        <f t="shared" si="10"/>
        <v>3293280.487804878</v>
      </c>
      <c r="F61" s="431">
        <f t="shared" si="10"/>
        <v>4118598.1707317075</v>
      </c>
      <c r="G61" s="107">
        <v>44</v>
      </c>
      <c r="H61" s="107">
        <f t="shared" si="6"/>
        <v>2060</v>
      </c>
      <c r="I61" s="107"/>
      <c r="J61" s="431">
        <f t="shared" si="8"/>
        <v>582123.58829268289</v>
      </c>
      <c r="K61" s="431">
        <f t="shared" si="8"/>
        <v>779720.36780487804</v>
      </c>
      <c r="L61" s="431">
        <f t="shared" si="8"/>
        <v>978053.97073170729</v>
      </c>
    </row>
    <row r="62" spans="1:12" x14ac:dyDescent="0.2">
      <c r="A62" s="107">
        <v>45</v>
      </c>
      <c r="B62" s="107">
        <f t="shared" si="5"/>
        <v>2061</v>
      </c>
      <c r="C62" s="430"/>
      <c r="D62" s="431">
        <f t="shared" si="10"/>
        <v>2470480.2439024393</v>
      </c>
      <c r="E62" s="431">
        <f t="shared" si="10"/>
        <v>3293280.487804878</v>
      </c>
      <c r="F62" s="431">
        <f t="shared" si="10"/>
        <v>4118598.1707317075</v>
      </c>
      <c r="G62" s="107">
        <v>45</v>
      </c>
      <c r="H62" s="107">
        <f t="shared" si="6"/>
        <v>2061</v>
      </c>
      <c r="I62" s="107"/>
      <c r="J62" s="431">
        <f t="shared" si="8"/>
        <v>582123.58829268289</v>
      </c>
      <c r="K62" s="431">
        <f t="shared" si="8"/>
        <v>779720.36780487804</v>
      </c>
      <c r="L62" s="431">
        <f t="shared" si="8"/>
        <v>978053.97073170729</v>
      </c>
    </row>
    <row r="63" spans="1:12" x14ac:dyDescent="0.2">
      <c r="A63" s="107">
        <v>46</v>
      </c>
      <c r="B63" s="107">
        <f t="shared" si="5"/>
        <v>2062</v>
      </c>
      <c r="C63" s="430"/>
      <c r="D63" s="431">
        <f t="shared" si="10"/>
        <v>2470480.2439024393</v>
      </c>
      <c r="E63" s="431">
        <f t="shared" si="10"/>
        <v>3293280.487804878</v>
      </c>
      <c r="F63" s="431">
        <f t="shared" si="10"/>
        <v>4118598.1707317075</v>
      </c>
      <c r="G63" s="107">
        <v>46</v>
      </c>
      <c r="H63" s="107">
        <f t="shared" si="6"/>
        <v>2062</v>
      </c>
      <c r="I63" s="107"/>
      <c r="J63" s="431">
        <f t="shared" si="8"/>
        <v>582123.58829268289</v>
      </c>
      <c r="K63" s="431">
        <f t="shared" si="8"/>
        <v>779720.36780487804</v>
      </c>
      <c r="L63" s="431">
        <f t="shared" si="8"/>
        <v>978053.97073170729</v>
      </c>
    </row>
    <row r="64" spans="1:12" x14ac:dyDescent="0.2">
      <c r="A64" s="107">
        <v>47</v>
      </c>
      <c r="B64" s="107">
        <f t="shared" si="5"/>
        <v>2063</v>
      </c>
      <c r="C64" s="430"/>
      <c r="D64" s="431">
        <f t="shared" si="10"/>
        <v>2470480.2439024393</v>
      </c>
      <c r="E64" s="431">
        <f t="shared" si="10"/>
        <v>3293280.487804878</v>
      </c>
      <c r="F64" s="431">
        <f t="shared" si="10"/>
        <v>4118598.1707317075</v>
      </c>
      <c r="G64" s="107">
        <v>47</v>
      </c>
      <c r="H64" s="107">
        <f t="shared" si="6"/>
        <v>2063</v>
      </c>
      <c r="I64" s="107"/>
      <c r="J64" s="431">
        <f t="shared" si="8"/>
        <v>582123.58829268289</v>
      </c>
      <c r="K64" s="431">
        <f t="shared" si="8"/>
        <v>779720.36780487804</v>
      </c>
      <c r="L64" s="431">
        <f t="shared" si="8"/>
        <v>978053.97073170729</v>
      </c>
    </row>
    <row r="65" spans="1:12" x14ac:dyDescent="0.2">
      <c r="A65" s="107">
        <v>48</v>
      </c>
      <c r="B65" s="107">
        <f t="shared" si="5"/>
        <v>2064</v>
      </c>
      <c r="C65" s="430"/>
      <c r="D65" s="431">
        <f t="shared" si="10"/>
        <v>2470480.2439024393</v>
      </c>
      <c r="E65" s="431">
        <f t="shared" si="10"/>
        <v>3293280.487804878</v>
      </c>
      <c r="F65" s="431">
        <f t="shared" si="10"/>
        <v>4118598.1707317075</v>
      </c>
      <c r="G65" s="107">
        <v>48</v>
      </c>
      <c r="H65" s="107">
        <f t="shared" si="6"/>
        <v>2064</v>
      </c>
      <c r="I65" s="107"/>
      <c r="J65" s="431">
        <f t="shared" si="8"/>
        <v>582123.58829268289</v>
      </c>
      <c r="K65" s="431">
        <f t="shared" si="8"/>
        <v>779720.36780487804</v>
      </c>
      <c r="L65" s="431">
        <f t="shared" si="8"/>
        <v>978053.97073170729</v>
      </c>
    </row>
    <row r="66" spans="1:12" s="326" customFormat="1" x14ac:dyDescent="0.2">
      <c r="A66" s="107">
        <v>49</v>
      </c>
      <c r="B66" s="107">
        <f t="shared" si="5"/>
        <v>2065</v>
      </c>
      <c r="C66" s="430"/>
      <c r="D66" s="431">
        <f t="shared" si="10"/>
        <v>2470480.2439024393</v>
      </c>
      <c r="E66" s="431">
        <f t="shared" si="10"/>
        <v>3293280.487804878</v>
      </c>
      <c r="F66" s="431">
        <f t="shared" si="10"/>
        <v>4118598.1707317075</v>
      </c>
      <c r="G66" s="107">
        <v>49</v>
      </c>
      <c r="H66" s="107">
        <f t="shared" si="6"/>
        <v>2065</v>
      </c>
      <c r="I66" s="432"/>
      <c r="J66" s="431">
        <f t="shared" si="8"/>
        <v>582123.58829268289</v>
      </c>
      <c r="K66" s="431">
        <f t="shared" si="8"/>
        <v>779720.36780487804</v>
      </c>
      <c r="L66" s="431">
        <f t="shared" si="8"/>
        <v>978053.97073170729</v>
      </c>
    </row>
    <row r="67" spans="1:12" x14ac:dyDescent="0.2">
      <c r="A67" s="107">
        <v>50</v>
      </c>
      <c r="B67" s="107">
        <f t="shared" si="5"/>
        <v>2066</v>
      </c>
      <c r="C67" s="430"/>
      <c r="D67" s="431">
        <f t="shared" si="10"/>
        <v>2470480.2439024393</v>
      </c>
      <c r="E67" s="431">
        <f t="shared" si="10"/>
        <v>3293280.487804878</v>
      </c>
      <c r="F67" s="431">
        <f t="shared" si="10"/>
        <v>4118598.1707317075</v>
      </c>
      <c r="G67" s="107">
        <v>50</v>
      </c>
      <c r="H67" s="107">
        <f t="shared" si="6"/>
        <v>2066</v>
      </c>
      <c r="I67" s="107"/>
      <c r="J67" s="431">
        <f t="shared" si="8"/>
        <v>582123.58829268289</v>
      </c>
      <c r="K67" s="431">
        <f t="shared" si="8"/>
        <v>779720.36780487804</v>
      </c>
      <c r="L67" s="431">
        <f t="shared" si="8"/>
        <v>978053.97073170729</v>
      </c>
    </row>
    <row r="68" spans="1:12" x14ac:dyDescent="0.2">
      <c r="A68" s="107">
        <v>51</v>
      </c>
      <c r="B68" s="107">
        <f t="shared" si="5"/>
        <v>2067</v>
      </c>
      <c r="C68" s="430"/>
      <c r="D68" s="435">
        <f t="shared" si="10"/>
        <v>0</v>
      </c>
      <c r="E68" s="435">
        <f t="shared" si="10"/>
        <v>0</v>
      </c>
      <c r="F68" s="435">
        <f t="shared" si="10"/>
        <v>0</v>
      </c>
      <c r="G68" s="107">
        <v>51</v>
      </c>
      <c r="H68" s="107">
        <f t="shared" si="6"/>
        <v>2067</v>
      </c>
      <c r="I68" s="107"/>
      <c r="J68" s="435">
        <f t="shared" ref="J68:L87" si="11">(IF((AND($G68&gt;=$H$5,$G68&lt;=$I$5)),J$106,0)+IF((AND($G68&gt;=$H$6,$G68&lt;=$I$6)),J$107,0)+IF((AND($G68&gt;=$H$7,$G68&lt;=$I$7)),J$108,0)+IF((AND($G68&gt;=$H$8,$G68&lt;=$I$8)),J$109,0)+IF((AND($G68&gt;=$H$10,$G68&lt;=$I$10)),J$111,0)+IF((AND($G68&gt;=$H$11,$G68&lt;=$I$11)),J$112,0))</f>
        <v>0</v>
      </c>
      <c r="K68" s="435">
        <f t="shared" si="11"/>
        <v>0</v>
      </c>
      <c r="L68" s="435">
        <f t="shared" si="11"/>
        <v>0</v>
      </c>
    </row>
    <row r="69" spans="1:12" x14ac:dyDescent="0.2">
      <c r="A69" s="107">
        <v>52</v>
      </c>
      <c r="B69" s="107">
        <f t="shared" si="5"/>
        <v>2068</v>
      </c>
      <c r="C69" s="430"/>
      <c r="D69" s="435">
        <f t="shared" si="10"/>
        <v>0</v>
      </c>
      <c r="E69" s="435">
        <f t="shared" si="10"/>
        <v>0</v>
      </c>
      <c r="F69" s="435">
        <f t="shared" si="10"/>
        <v>0</v>
      </c>
      <c r="G69" s="107">
        <v>52</v>
      </c>
      <c r="H69" s="107">
        <f t="shared" si="6"/>
        <v>2068</v>
      </c>
      <c r="I69" s="107"/>
      <c r="J69" s="435">
        <f t="shared" si="11"/>
        <v>0</v>
      </c>
      <c r="K69" s="435">
        <f t="shared" si="11"/>
        <v>0</v>
      </c>
      <c r="L69" s="435">
        <f t="shared" si="11"/>
        <v>0</v>
      </c>
    </row>
    <row r="70" spans="1:12" x14ac:dyDescent="0.2">
      <c r="A70" s="107">
        <v>53</v>
      </c>
      <c r="B70" s="107">
        <f t="shared" si="5"/>
        <v>2069</v>
      </c>
      <c r="C70" s="430"/>
      <c r="D70" s="435">
        <f t="shared" si="10"/>
        <v>0</v>
      </c>
      <c r="E70" s="435">
        <f t="shared" si="10"/>
        <v>0</v>
      </c>
      <c r="F70" s="435">
        <f t="shared" si="10"/>
        <v>0</v>
      </c>
      <c r="G70" s="107">
        <v>53</v>
      </c>
      <c r="H70" s="107">
        <f t="shared" si="6"/>
        <v>2069</v>
      </c>
      <c r="I70" s="107"/>
      <c r="J70" s="435">
        <f t="shared" si="11"/>
        <v>0</v>
      </c>
      <c r="K70" s="435">
        <f t="shared" si="11"/>
        <v>0</v>
      </c>
      <c r="L70" s="435">
        <f t="shared" si="11"/>
        <v>0</v>
      </c>
    </row>
    <row r="71" spans="1:12" x14ac:dyDescent="0.2">
      <c r="A71" s="107">
        <v>54</v>
      </c>
      <c r="B71" s="107">
        <f t="shared" si="5"/>
        <v>2070</v>
      </c>
      <c r="C71" s="430"/>
      <c r="D71" s="435">
        <f t="shared" si="10"/>
        <v>0</v>
      </c>
      <c r="E71" s="435">
        <f t="shared" si="10"/>
        <v>0</v>
      </c>
      <c r="F71" s="435">
        <f t="shared" si="10"/>
        <v>0</v>
      </c>
      <c r="G71" s="107">
        <v>54</v>
      </c>
      <c r="H71" s="107">
        <f t="shared" si="6"/>
        <v>2070</v>
      </c>
      <c r="I71" s="107"/>
      <c r="J71" s="435">
        <f t="shared" si="11"/>
        <v>0</v>
      </c>
      <c r="K71" s="435">
        <f t="shared" si="11"/>
        <v>0</v>
      </c>
      <c r="L71" s="435">
        <f t="shared" si="11"/>
        <v>0</v>
      </c>
    </row>
    <row r="72" spans="1:12" x14ac:dyDescent="0.2">
      <c r="A72" s="107">
        <v>55</v>
      </c>
      <c r="B72" s="107">
        <f t="shared" si="5"/>
        <v>2071</v>
      </c>
      <c r="C72" s="430"/>
      <c r="D72" s="435">
        <f t="shared" si="10"/>
        <v>0</v>
      </c>
      <c r="E72" s="435">
        <f t="shared" si="10"/>
        <v>0</v>
      </c>
      <c r="F72" s="435">
        <f t="shared" si="10"/>
        <v>0</v>
      </c>
      <c r="G72" s="107">
        <v>55</v>
      </c>
      <c r="H72" s="107">
        <f t="shared" si="6"/>
        <v>2071</v>
      </c>
      <c r="I72" s="107"/>
      <c r="J72" s="435">
        <f t="shared" si="11"/>
        <v>0</v>
      </c>
      <c r="K72" s="435">
        <f t="shared" si="11"/>
        <v>0</v>
      </c>
      <c r="L72" s="435">
        <f t="shared" si="11"/>
        <v>0</v>
      </c>
    </row>
    <row r="73" spans="1:12" x14ac:dyDescent="0.2">
      <c r="A73" s="107">
        <v>56</v>
      </c>
      <c r="B73" s="107">
        <f t="shared" si="5"/>
        <v>2072</v>
      </c>
      <c r="C73" s="430"/>
      <c r="D73" s="435">
        <f t="shared" si="10"/>
        <v>0</v>
      </c>
      <c r="E73" s="435">
        <f t="shared" si="10"/>
        <v>0</v>
      </c>
      <c r="F73" s="435">
        <f t="shared" si="10"/>
        <v>0</v>
      </c>
      <c r="G73" s="107">
        <v>56</v>
      </c>
      <c r="H73" s="107">
        <f t="shared" si="6"/>
        <v>2072</v>
      </c>
      <c r="I73" s="107"/>
      <c r="J73" s="435">
        <f t="shared" si="11"/>
        <v>0</v>
      </c>
      <c r="K73" s="435">
        <f t="shared" si="11"/>
        <v>0</v>
      </c>
      <c r="L73" s="435">
        <f t="shared" si="11"/>
        <v>0</v>
      </c>
    </row>
    <row r="74" spans="1:12" x14ac:dyDescent="0.2">
      <c r="A74" s="107">
        <v>57</v>
      </c>
      <c r="B74" s="107">
        <f t="shared" si="5"/>
        <v>2073</v>
      </c>
      <c r="C74" s="430"/>
      <c r="D74" s="435">
        <f t="shared" si="10"/>
        <v>0</v>
      </c>
      <c r="E74" s="435">
        <f t="shared" si="10"/>
        <v>0</v>
      </c>
      <c r="F74" s="435">
        <f t="shared" si="10"/>
        <v>0</v>
      </c>
      <c r="G74" s="107">
        <v>57</v>
      </c>
      <c r="H74" s="107">
        <f t="shared" si="6"/>
        <v>2073</v>
      </c>
      <c r="I74" s="107"/>
      <c r="J74" s="435">
        <f t="shared" si="11"/>
        <v>0</v>
      </c>
      <c r="K74" s="435">
        <f t="shared" si="11"/>
        <v>0</v>
      </c>
      <c r="L74" s="435">
        <f t="shared" si="11"/>
        <v>0</v>
      </c>
    </row>
    <row r="75" spans="1:12" x14ac:dyDescent="0.2">
      <c r="A75" s="107">
        <v>58</v>
      </c>
      <c r="B75" s="107">
        <f t="shared" si="5"/>
        <v>2074</v>
      </c>
      <c r="C75" s="430"/>
      <c r="D75" s="435">
        <f t="shared" si="10"/>
        <v>0</v>
      </c>
      <c r="E75" s="435">
        <f t="shared" si="10"/>
        <v>0</v>
      </c>
      <c r="F75" s="435">
        <f t="shared" si="10"/>
        <v>0</v>
      </c>
      <c r="G75" s="107">
        <v>58</v>
      </c>
      <c r="H75" s="107">
        <f t="shared" si="6"/>
        <v>2074</v>
      </c>
      <c r="I75" s="107"/>
      <c r="J75" s="435">
        <f t="shared" si="11"/>
        <v>0</v>
      </c>
      <c r="K75" s="435">
        <f t="shared" si="11"/>
        <v>0</v>
      </c>
      <c r="L75" s="435">
        <f t="shared" si="11"/>
        <v>0</v>
      </c>
    </row>
    <row r="76" spans="1:12" x14ac:dyDescent="0.2">
      <c r="A76" s="107">
        <v>59</v>
      </c>
      <c r="B76" s="107">
        <f t="shared" si="5"/>
        <v>2075</v>
      </c>
      <c r="C76" s="430"/>
      <c r="D76" s="435">
        <f t="shared" si="10"/>
        <v>0</v>
      </c>
      <c r="E76" s="435">
        <f t="shared" si="10"/>
        <v>0</v>
      </c>
      <c r="F76" s="435">
        <f t="shared" si="10"/>
        <v>0</v>
      </c>
      <c r="G76" s="107">
        <v>59</v>
      </c>
      <c r="H76" s="107">
        <f t="shared" si="6"/>
        <v>2075</v>
      </c>
      <c r="I76" s="107"/>
      <c r="J76" s="435">
        <f t="shared" si="11"/>
        <v>0</v>
      </c>
      <c r="K76" s="435">
        <f t="shared" si="11"/>
        <v>0</v>
      </c>
      <c r="L76" s="435">
        <f t="shared" si="11"/>
        <v>0</v>
      </c>
    </row>
    <row r="77" spans="1:12" x14ac:dyDescent="0.2">
      <c r="A77" s="107">
        <v>60</v>
      </c>
      <c r="B77" s="107">
        <f t="shared" si="5"/>
        <v>2076</v>
      </c>
      <c r="C77" s="430"/>
      <c r="D77" s="435">
        <f t="shared" si="10"/>
        <v>0</v>
      </c>
      <c r="E77" s="435">
        <f t="shared" si="10"/>
        <v>0</v>
      </c>
      <c r="F77" s="435">
        <f t="shared" si="10"/>
        <v>0</v>
      </c>
      <c r="G77" s="107">
        <v>60</v>
      </c>
      <c r="H77" s="107">
        <f t="shared" si="6"/>
        <v>2076</v>
      </c>
      <c r="I77" s="107"/>
      <c r="J77" s="435">
        <f t="shared" si="11"/>
        <v>0</v>
      </c>
      <c r="K77" s="435">
        <f t="shared" si="11"/>
        <v>0</v>
      </c>
      <c r="L77" s="435">
        <f t="shared" si="11"/>
        <v>0</v>
      </c>
    </row>
    <row r="78" spans="1:12" x14ac:dyDescent="0.2">
      <c r="A78" s="107">
        <v>61</v>
      </c>
      <c r="B78" s="107">
        <f t="shared" si="5"/>
        <v>2077</v>
      </c>
      <c r="C78" s="430"/>
      <c r="D78" s="435">
        <f t="shared" ref="D78:F102" si="12">(IF((AND($A78&gt;=$B$5,$A78&lt;=$C$5)),D$106,0)+IF((AND($A78&gt;=$B$6,$A78&lt;=$C$6)),D$107,0)+IF((AND($A78&gt;=$B$7,$A78&lt;=$C$7)),D$108,0)+IF((AND($A78&gt;=$B$8,$A78&lt;=$C$8)),D$109,0)+IF((AND($A78&gt;=$B$10,$A78&lt;=$C$10)),D$111,0)+IF((AND($A78&gt;=$B$11,$A78&lt;=$C$11)),D$112,0))</f>
        <v>0</v>
      </c>
      <c r="E78" s="435">
        <f t="shared" si="12"/>
        <v>0</v>
      </c>
      <c r="F78" s="435">
        <f t="shared" si="12"/>
        <v>0</v>
      </c>
      <c r="G78" s="107">
        <v>61</v>
      </c>
      <c r="H78" s="107">
        <f t="shared" si="6"/>
        <v>2077</v>
      </c>
      <c r="I78" s="107"/>
      <c r="J78" s="435">
        <f t="shared" si="11"/>
        <v>0</v>
      </c>
      <c r="K78" s="435">
        <f t="shared" si="11"/>
        <v>0</v>
      </c>
      <c r="L78" s="435">
        <f t="shared" si="11"/>
        <v>0</v>
      </c>
    </row>
    <row r="79" spans="1:12" x14ac:dyDescent="0.2">
      <c r="A79" s="107">
        <v>62</v>
      </c>
      <c r="B79" s="107">
        <f t="shared" si="5"/>
        <v>2078</v>
      </c>
      <c r="C79" s="430"/>
      <c r="D79" s="435">
        <f t="shared" si="12"/>
        <v>0</v>
      </c>
      <c r="E79" s="435">
        <f t="shared" si="12"/>
        <v>0</v>
      </c>
      <c r="F79" s="435">
        <f t="shared" si="12"/>
        <v>0</v>
      </c>
      <c r="G79" s="107">
        <v>62</v>
      </c>
      <c r="H79" s="107">
        <f t="shared" si="6"/>
        <v>2078</v>
      </c>
      <c r="I79" s="107"/>
      <c r="J79" s="435">
        <f t="shared" si="11"/>
        <v>0</v>
      </c>
      <c r="K79" s="435">
        <f t="shared" si="11"/>
        <v>0</v>
      </c>
      <c r="L79" s="435">
        <f t="shared" si="11"/>
        <v>0</v>
      </c>
    </row>
    <row r="80" spans="1:12" x14ac:dyDescent="0.2">
      <c r="A80" s="107">
        <v>63</v>
      </c>
      <c r="B80" s="107">
        <f t="shared" si="5"/>
        <v>2079</v>
      </c>
      <c r="C80" s="430"/>
      <c r="D80" s="435">
        <f t="shared" si="12"/>
        <v>0</v>
      </c>
      <c r="E80" s="435">
        <f t="shared" si="12"/>
        <v>0</v>
      </c>
      <c r="F80" s="435">
        <f t="shared" si="12"/>
        <v>0</v>
      </c>
      <c r="G80" s="107">
        <v>63</v>
      </c>
      <c r="H80" s="107">
        <f t="shared" si="6"/>
        <v>2079</v>
      </c>
      <c r="I80" s="107"/>
      <c r="J80" s="435">
        <f t="shared" si="11"/>
        <v>0</v>
      </c>
      <c r="K80" s="435">
        <f t="shared" si="11"/>
        <v>0</v>
      </c>
      <c r="L80" s="435">
        <f t="shared" si="11"/>
        <v>0</v>
      </c>
    </row>
    <row r="81" spans="1:12" x14ac:dyDescent="0.2">
      <c r="A81" s="107">
        <v>64</v>
      </c>
      <c r="B81" s="107">
        <f t="shared" si="5"/>
        <v>2080</v>
      </c>
      <c r="C81" s="430"/>
      <c r="D81" s="435">
        <f t="shared" si="12"/>
        <v>0</v>
      </c>
      <c r="E81" s="435">
        <f t="shared" si="12"/>
        <v>0</v>
      </c>
      <c r="F81" s="435">
        <f t="shared" si="12"/>
        <v>0</v>
      </c>
      <c r="G81" s="107">
        <v>64</v>
      </c>
      <c r="H81" s="107">
        <f t="shared" si="6"/>
        <v>2080</v>
      </c>
      <c r="I81" s="107"/>
      <c r="J81" s="435">
        <f t="shared" si="11"/>
        <v>0</v>
      </c>
      <c r="K81" s="435">
        <f t="shared" si="11"/>
        <v>0</v>
      </c>
      <c r="L81" s="435">
        <f t="shared" si="11"/>
        <v>0</v>
      </c>
    </row>
    <row r="82" spans="1:12" x14ac:dyDescent="0.2">
      <c r="A82" s="107">
        <v>65</v>
      </c>
      <c r="B82" s="107">
        <f t="shared" si="5"/>
        <v>2081</v>
      </c>
      <c r="C82" s="430"/>
      <c r="D82" s="435">
        <f t="shared" si="12"/>
        <v>0</v>
      </c>
      <c r="E82" s="435">
        <f t="shared" si="12"/>
        <v>0</v>
      </c>
      <c r="F82" s="435">
        <f t="shared" si="12"/>
        <v>0</v>
      </c>
      <c r="G82" s="107">
        <v>65</v>
      </c>
      <c r="H82" s="107">
        <f t="shared" si="6"/>
        <v>2081</v>
      </c>
      <c r="I82" s="107"/>
      <c r="J82" s="435">
        <f t="shared" si="11"/>
        <v>0</v>
      </c>
      <c r="K82" s="435">
        <f t="shared" si="11"/>
        <v>0</v>
      </c>
      <c r="L82" s="435">
        <f t="shared" si="11"/>
        <v>0</v>
      </c>
    </row>
    <row r="83" spans="1:12" x14ac:dyDescent="0.2">
      <c r="A83" s="107">
        <v>66</v>
      </c>
      <c r="B83" s="107">
        <f t="shared" ref="B83:B102" si="13">2016+A83</f>
        <v>2082</v>
      </c>
      <c r="C83" s="430"/>
      <c r="D83" s="435">
        <f t="shared" si="12"/>
        <v>0</v>
      </c>
      <c r="E83" s="435">
        <f t="shared" si="12"/>
        <v>0</v>
      </c>
      <c r="F83" s="435">
        <f t="shared" si="12"/>
        <v>0</v>
      </c>
      <c r="G83" s="107">
        <v>66</v>
      </c>
      <c r="H83" s="107">
        <f t="shared" ref="H83:H102" si="14">2016+G83</f>
        <v>2082</v>
      </c>
      <c r="I83" s="107"/>
      <c r="J83" s="435">
        <f t="shared" si="11"/>
        <v>0</v>
      </c>
      <c r="K83" s="435">
        <f t="shared" si="11"/>
        <v>0</v>
      </c>
      <c r="L83" s="435">
        <f t="shared" si="11"/>
        <v>0</v>
      </c>
    </row>
    <row r="84" spans="1:12" x14ac:dyDescent="0.2">
      <c r="A84" s="107">
        <v>67</v>
      </c>
      <c r="B84" s="107">
        <f t="shared" si="13"/>
        <v>2083</v>
      </c>
      <c r="C84" s="430"/>
      <c r="D84" s="435">
        <f t="shared" si="12"/>
        <v>0</v>
      </c>
      <c r="E84" s="435">
        <f t="shared" si="12"/>
        <v>0</v>
      </c>
      <c r="F84" s="435">
        <f t="shared" si="12"/>
        <v>0</v>
      </c>
      <c r="G84" s="107">
        <v>67</v>
      </c>
      <c r="H84" s="107">
        <f t="shared" si="14"/>
        <v>2083</v>
      </c>
      <c r="I84" s="107"/>
      <c r="J84" s="435">
        <f t="shared" si="11"/>
        <v>0</v>
      </c>
      <c r="K84" s="435">
        <f t="shared" si="11"/>
        <v>0</v>
      </c>
      <c r="L84" s="435">
        <f t="shared" si="11"/>
        <v>0</v>
      </c>
    </row>
    <row r="85" spans="1:12" x14ac:dyDescent="0.2">
      <c r="A85" s="107">
        <v>68</v>
      </c>
      <c r="B85" s="107">
        <f t="shared" si="13"/>
        <v>2084</v>
      </c>
      <c r="C85" s="430"/>
      <c r="D85" s="435">
        <f t="shared" si="12"/>
        <v>0</v>
      </c>
      <c r="E85" s="435">
        <f t="shared" si="12"/>
        <v>0</v>
      </c>
      <c r="F85" s="435">
        <f t="shared" si="12"/>
        <v>0</v>
      </c>
      <c r="G85" s="107">
        <v>68</v>
      </c>
      <c r="H85" s="107">
        <f t="shared" si="14"/>
        <v>2084</v>
      </c>
      <c r="I85" s="107"/>
      <c r="J85" s="435">
        <f t="shared" si="11"/>
        <v>0</v>
      </c>
      <c r="K85" s="435">
        <f t="shared" si="11"/>
        <v>0</v>
      </c>
      <c r="L85" s="435">
        <f t="shared" si="11"/>
        <v>0</v>
      </c>
    </row>
    <row r="86" spans="1:12" x14ac:dyDescent="0.2">
      <c r="A86" s="107">
        <v>69</v>
      </c>
      <c r="B86" s="107">
        <f t="shared" si="13"/>
        <v>2085</v>
      </c>
      <c r="C86" s="430"/>
      <c r="D86" s="435">
        <f t="shared" si="12"/>
        <v>0</v>
      </c>
      <c r="E86" s="435">
        <f t="shared" si="12"/>
        <v>0</v>
      </c>
      <c r="F86" s="435">
        <f t="shared" si="12"/>
        <v>0</v>
      </c>
      <c r="G86" s="107">
        <v>69</v>
      </c>
      <c r="H86" s="107">
        <f t="shared" si="14"/>
        <v>2085</v>
      </c>
      <c r="I86" s="107"/>
      <c r="J86" s="435">
        <f t="shared" si="11"/>
        <v>0</v>
      </c>
      <c r="K86" s="435">
        <f t="shared" si="11"/>
        <v>0</v>
      </c>
      <c r="L86" s="435">
        <f t="shared" si="11"/>
        <v>0</v>
      </c>
    </row>
    <row r="87" spans="1:12" x14ac:dyDescent="0.2">
      <c r="A87" s="107">
        <v>70</v>
      </c>
      <c r="B87" s="107">
        <f t="shared" si="13"/>
        <v>2086</v>
      </c>
      <c r="C87" s="430"/>
      <c r="D87" s="435">
        <f t="shared" si="12"/>
        <v>0</v>
      </c>
      <c r="E87" s="435">
        <f t="shared" si="12"/>
        <v>0</v>
      </c>
      <c r="F87" s="435">
        <f t="shared" si="12"/>
        <v>0</v>
      </c>
      <c r="G87" s="107">
        <v>70</v>
      </c>
      <c r="H87" s="107">
        <f t="shared" si="14"/>
        <v>2086</v>
      </c>
      <c r="I87" s="107"/>
      <c r="J87" s="435">
        <f t="shared" si="11"/>
        <v>0</v>
      </c>
      <c r="K87" s="435">
        <f t="shared" si="11"/>
        <v>0</v>
      </c>
      <c r="L87" s="435">
        <f t="shared" si="11"/>
        <v>0</v>
      </c>
    </row>
    <row r="88" spans="1:12" x14ac:dyDescent="0.2">
      <c r="A88" s="107">
        <v>71</v>
      </c>
      <c r="B88" s="107">
        <f t="shared" si="13"/>
        <v>2087</v>
      </c>
      <c r="C88" s="430"/>
      <c r="D88" s="435">
        <f t="shared" si="12"/>
        <v>0</v>
      </c>
      <c r="E88" s="435">
        <f t="shared" si="12"/>
        <v>0</v>
      </c>
      <c r="F88" s="435">
        <f t="shared" si="12"/>
        <v>0</v>
      </c>
      <c r="G88" s="107">
        <v>71</v>
      </c>
      <c r="H88" s="107">
        <f t="shared" si="14"/>
        <v>2087</v>
      </c>
      <c r="I88" s="107"/>
      <c r="J88" s="435">
        <f t="shared" ref="J88:L102" si="15">(IF((AND($G88&gt;=$H$5,$G88&lt;=$I$5)),J$106,0)+IF((AND($G88&gt;=$H$6,$G88&lt;=$I$6)),J$107,0)+IF((AND($G88&gt;=$H$7,$G88&lt;=$I$7)),J$108,0)+IF((AND($G88&gt;=$H$8,$G88&lt;=$I$8)),J$109,0)+IF((AND($G88&gt;=$H$10,$G88&lt;=$I$10)),J$111,0)+IF((AND($G88&gt;=$H$11,$G88&lt;=$I$11)),J$112,0))</f>
        <v>0</v>
      </c>
      <c r="K88" s="435">
        <f t="shared" si="15"/>
        <v>0</v>
      </c>
      <c r="L88" s="435">
        <f t="shared" si="15"/>
        <v>0</v>
      </c>
    </row>
    <row r="89" spans="1:12" x14ac:dyDescent="0.2">
      <c r="A89" s="107">
        <v>72</v>
      </c>
      <c r="B89" s="107">
        <f t="shared" si="13"/>
        <v>2088</v>
      </c>
      <c r="C89" s="430"/>
      <c r="D89" s="435">
        <f t="shared" si="12"/>
        <v>0</v>
      </c>
      <c r="E89" s="435">
        <f t="shared" si="12"/>
        <v>0</v>
      </c>
      <c r="F89" s="435">
        <f t="shared" si="12"/>
        <v>0</v>
      </c>
      <c r="G89" s="107">
        <v>72</v>
      </c>
      <c r="H89" s="107">
        <f t="shared" si="14"/>
        <v>2088</v>
      </c>
      <c r="I89" s="107"/>
      <c r="J89" s="435">
        <f t="shared" si="15"/>
        <v>0</v>
      </c>
      <c r="K89" s="435">
        <f t="shared" si="15"/>
        <v>0</v>
      </c>
      <c r="L89" s="435">
        <f t="shared" si="15"/>
        <v>0</v>
      </c>
    </row>
    <row r="90" spans="1:12" x14ac:dyDescent="0.2">
      <c r="A90" s="107">
        <v>73</v>
      </c>
      <c r="B90" s="107">
        <f t="shared" si="13"/>
        <v>2089</v>
      </c>
      <c r="C90" s="430"/>
      <c r="D90" s="435">
        <f t="shared" si="12"/>
        <v>0</v>
      </c>
      <c r="E90" s="435">
        <f t="shared" si="12"/>
        <v>0</v>
      </c>
      <c r="F90" s="435">
        <f t="shared" si="12"/>
        <v>0</v>
      </c>
      <c r="G90" s="107">
        <v>73</v>
      </c>
      <c r="H90" s="107">
        <f t="shared" si="14"/>
        <v>2089</v>
      </c>
      <c r="I90" s="107"/>
      <c r="J90" s="435">
        <f t="shared" si="15"/>
        <v>0</v>
      </c>
      <c r="K90" s="435">
        <f t="shared" si="15"/>
        <v>0</v>
      </c>
      <c r="L90" s="435">
        <f t="shared" si="15"/>
        <v>0</v>
      </c>
    </row>
    <row r="91" spans="1:12" x14ac:dyDescent="0.2">
      <c r="A91" s="107">
        <v>74</v>
      </c>
      <c r="B91" s="107">
        <f t="shared" si="13"/>
        <v>2090</v>
      </c>
      <c r="C91" s="430"/>
      <c r="D91" s="435">
        <f t="shared" si="12"/>
        <v>0</v>
      </c>
      <c r="E91" s="435">
        <f t="shared" si="12"/>
        <v>0</v>
      </c>
      <c r="F91" s="435">
        <f t="shared" si="12"/>
        <v>0</v>
      </c>
      <c r="G91" s="107">
        <v>74</v>
      </c>
      <c r="H91" s="107">
        <f t="shared" si="14"/>
        <v>2090</v>
      </c>
      <c r="I91" s="107"/>
      <c r="J91" s="435">
        <f t="shared" si="15"/>
        <v>0</v>
      </c>
      <c r="K91" s="435">
        <f t="shared" si="15"/>
        <v>0</v>
      </c>
      <c r="L91" s="435">
        <f t="shared" si="15"/>
        <v>0</v>
      </c>
    </row>
    <row r="92" spans="1:12" x14ac:dyDescent="0.2">
      <c r="A92" s="107">
        <v>75</v>
      </c>
      <c r="B92" s="107">
        <f t="shared" si="13"/>
        <v>2091</v>
      </c>
      <c r="C92" s="430"/>
      <c r="D92" s="435">
        <f t="shared" si="12"/>
        <v>0</v>
      </c>
      <c r="E92" s="435">
        <f t="shared" si="12"/>
        <v>0</v>
      </c>
      <c r="F92" s="435">
        <f t="shared" si="12"/>
        <v>0</v>
      </c>
      <c r="G92" s="107">
        <v>75</v>
      </c>
      <c r="H92" s="107">
        <f t="shared" si="14"/>
        <v>2091</v>
      </c>
      <c r="I92" s="107"/>
      <c r="J92" s="435">
        <f t="shared" si="15"/>
        <v>0</v>
      </c>
      <c r="K92" s="435">
        <f t="shared" si="15"/>
        <v>0</v>
      </c>
      <c r="L92" s="435">
        <f t="shared" si="15"/>
        <v>0</v>
      </c>
    </row>
    <row r="93" spans="1:12" x14ac:dyDescent="0.2">
      <c r="A93" s="107">
        <v>76</v>
      </c>
      <c r="B93" s="107">
        <f t="shared" si="13"/>
        <v>2092</v>
      </c>
      <c r="C93" s="430"/>
      <c r="D93" s="435">
        <f t="shared" si="12"/>
        <v>0</v>
      </c>
      <c r="E93" s="435">
        <f t="shared" si="12"/>
        <v>0</v>
      </c>
      <c r="F93" s="435">
        <f t="shared" si="12"/>
        <v>0</v>
      </c>
      <c r="G93" s="107">
        <v>76</v>
      </c>
      <c r="H93" s="107">
        <f t="shared" si="14"/>
        <v>2092</v>
      </c>
      <c r="I93" s="107"/>
      <c r="J93" s="435">
        <f t="shared" si="15"/>
        <v>0</v>
      </c>
      <c r="K93" s="435">
        <f t="shared" si="15"/>
        <v>0</v>
      </c>
      <c r="L93" s="435">
        <f t="shared" si="15"/>
        <v>0</v>
      </c>
    </row>
    <row r="94" spans="1:12" x14ac:dyDescent="0.2">
      <c r="A94" s="107">
        <v>77</v>
      </c>
      <c r="B94" s="107">
        <f t="shared" si="13"/>
        <v>2093</v>
      </c>
      <c r="C94" s="430"/>
      <c r="D94" s="435">
        <f t="shared" si="12"/>
        <v>0</v>
      </c>
      <c r="E94" s="435">
        <f t="shared" si="12"/>
        <v>0</v>
      </c>
      <c r="F94" s="435">
        <f t="shared" si="12"/>
        <v>0</v>
      </c>
      <c r="G94" s="107">
        <v>77</v>
      </c>
      <c r="H94" s="107">
        <f t="shared" si="14"/>
        <v>2093</v>
      </c>
      <c r="I94" s="107"/>
      <c r="J94" s="435">
        <f t="shared" si="15"/>
        <v>0</v>
      </c>
      <c r="K94" s="435">
        <f t="shared" si="15"/>
        <v>0</v>
      </c>
      <c r="L94" s="435">
        <f t="shared" si="15"/>
        <v>0</v>
      </c>
    </row>
    <row r="95" spans="1:12" x14ac:dyDescent="0.2">
      <c r="A95" s="107">
        <v>78</v>
      </c>
      <c r="B95" s="107">
        <f t="shared" si="13"/>
        <v>2094</v>
      </c>
      <c r="C95" s="430"/>
      <c r="D95" s="435">
        <f t="shared" si="12"/>
        <v>0</v>
      </c>
      <c r="E95" s="435">
        <f t="shared" si="12"/>
        <v>0</v>
      </c>
      <c r="F95" s="435">
        <f t="shared" si="12"/>
        <v>0</v>
      </c>
      <c r="G95" s="107">
        <v>78</v>
      </c>
      <c r="H95" s="107">
        <f t="shared" si="14"/>
        <v>2094</v>
      </c>
      <c r="I95" s="107"/>
      <c r="J95" s="435">
        <f t="shared" si="15"/>
        <v>0</v>
      </c>
      <c r="K95" s="435">
        <f t="shared" si="15"/>
        <v>0</v>
      </c>
      <c r="L95" s="435">
        <f t="shared" si="15"/>
        <v>0</v>
      </c>
    </row>
    <row r="96" spans="1:12" x14ac:dyDescent="0.2">
      <c r="A96" s="107">
        <v>79</v>
      </c>
      <c r="B96" s="107">
        <f t="shared" si="13"/>
        <v>2095</v>
      </c>
      <c r="C96" s="430"/>
      <c r="D96" s="435">
        <f t="shared" si="12"/>
        <v>0</v>
      </c>
      <c r="E96" s="435">
        <f t="shared" si="12"/>
        <v>0</v>
      </c>
      <c r="F96" s="435">
        <f t="shared" si="12"/>
        <v>0</v>
      </c>
      <c r="G96" s="107">
        <v>79</v>
      </c>
      <c r="H96" s="107">
        <f t="shared" si="14"/>
        <v>2095</v>
      </c>
      <c r="I96" s="107"/>
      <c r="J96" s="435">
        <f t="shared" si="15"/>
        <v>0</v>
      </c>
      <c r="K96" s="435">
        <f t="shared" si="15"/>
        <v>0</v>
      </c>
      <c r="L96" s="435">
        <f t="shared" si="15"/>
        <v>0</v>
      </c>
    </row>
    <row r="97" spans="1:12" x14ac:dyDescent="0.2">
      <c r="A97" s="107">
        <v>80</v>
      </c>
      <c r="B97" s="107">
        <f t="shared" si="13"/>
        <v>2096</v>
      </c>
      <c r="C97" s="430"/>
      <c r="D97" s="435">
        <f t="shared" si="12"/>
        <v>0</v>
      </c>
      <c r="E97" s="435">
        <f t="shared" si="12"/>
        <v>0</v>
      </c>
      <c r="F97" s="435">
        <f t="shared" si="12"/>
        <v>0</v>
      </c>
      <c r="G97" s="107">
        <v>80</v>
      </c>
      <c r="H97" s="107">
        <f t="shared" si="14"/>
        <v>2096</v>
      </c>
      <c r="I97" s="107"/>
      <c r="J97" s="435">
        <f t="shared" si="15"/>
        <v>0</v>
      </c>
      <c r="K97" s="435">
        <f t="shared" si="15"/>
        <v>0</v>
      </c>
      <c r="L97" s="435">
        <f t="shared" si="15"/>
        <v>0</v>
      </c>
    </row>
    <row r="98" spans="1:12" x14ac:dyDescent="0.2">
      <c r="A98" s="107">
        <v>81</v>
      </c>
      <c r="B98" s="107">
        <f t="shared" si="13"/>
        <v>2097</v>
      </c>
      <c r="C98" s="430"/>
      <c r="D98" s="435">
        <f t="shared" si="12"/>
        <v>0</v>
      </c>
      <c r="E98" s="435">
        <f t="shared" si="12"/>
        <v>0</v>
      </c>
      <c r="F98" s="435">
        <f t="shared" si="12"/>
        <v>0</v>
      </c>
      <c r="G98" s="107">
        <v>81</v>
      </c>
      <c r="H98" s="107">
        <f t="shared" si="14"/>
        <v>2097</v>
      </c>
      <c r="I98" s="107"/>
      <c r="J98" s="435">
        <f t="shared" si="15"/>
        <v>0</v>
      </c>
      <c r="K98" s="435">
        <f t="shared" si="15"/>
        <v>0</v>
      </c>
      <c r="L98" s="435">
        <f t="shared" si="15"/>
        <v>0</v>
      </c>
    </row>
    <row r="99" spans="1:12" x14ac:dyDescent="0.2">
      <c r="A99" s="107">
        <v>82</v>
      </c>
      <c r="B99" s="107">
        <f t="shared" si="13"/>
        <v>2098</v>
      </c>
      <c r="C99" s="430"/>
      <c r="D99" s="435">
        <f t="shared" si="12"/>
        <v>0</v>
      </c>
      <c r="E99" s="435">
        <f t="shared" si="12"/>
        <v>0</v>
      </c>
      <c r="F99" s="435">
        <f t="shared" si="12"/>
        <v>0</v>
      </c>
      <c r="G99" s="107">
        <v>82</v>
      </c>
      <c r="H99" s="107">
        <f t="shared" si="14"/>
        <v>2098</v>
      </c>
      <c r="I99" s="107"/>
      <c r="J99" s="435">
        <f t="shared" si="15"/>
        <v>0</v>
      </c>
      <c r="K99" s="435">
        <f t="shared" si="15"/>
        <v>0</v>
      </c>
      <c r="L99" s="435">
        <f t="shared" si="15"/>
        <v>0</v>
      </c>
    </row>
    <row r="100" spans="1:12" x14ac:dyDescent="0.2">
      <c r="A100" s="107">
        <v>83</v>
      </c>
      <c r="B100" s="107">
        <f t="shared" si="13"/>
        <v>2099</v>
      </c>
      <c r="C100" s="430"/>
      <c r="D100" s="435">
        <f t="shared" si="12"/>
        <v>0</v>
      </c>
      <c r="E100" s="435">
        <f t="shared" si="12"/>
        <v>0</v>
      </c>
      <c r="F100" s="435">
        <f t="shared" si="12"/>
        <v>0</v>
      </c>
      <c r="G100" s="107">
        <v>83</v>
      </c>
      <c r="H100" s="107">
        <f t="shared" si="14"/>
        <v>2099</v>
      </c>
      <c r="I100" s="107"/>
      <c r="J100" s="435">
        <f t="shared" si="15"/>
        <v>0</v>
      </c>
      <c r="K100" s="435">
        <f t="shared" si="15"/>
        <v>0</v>
      </c>
      <c r="L100" s="435">
        <f t="shared" si="15"/>
        <v>0</v>
      </c>
    </row>
    <row r="101" spans="1:12" x14ac:dyDescent="0.2">
      <c r="A101" s="107">
        <v>84</v>
      </c>
      <c r="B101" s="107">
        <f t="shared" si="13"/>
        <v>2100</v>
      </c>
      <c r="C101" s="430"/>
      <c r="D101" s="435">
        <f t="shared" si="12"/>
        <v>0</v>
      </c>
      <c r="E101" s="435">
        <f t="shared" si="12"/>
        <v>0</v>
      </c>
      <c r="F101" s="435">
        <f t="shared" si="12"/>
        <v>0</v>
      </c>
      <c r="G101" s="107">
        <v>84</v>
      </c>
      <c r="H101" s="107">
        <f t="shared" si="14"/>
        <v>2100</v>
      </c>
      <c r="I101" s="107"/>
      <c r="J101" s="435">
        <f t="shared" si="15"/>
        <v>0</v>
      </c>
      <c r="K101" s="435">
        <f t="shared" si="15"/>
        <v>0</v>
      </c>
      <c r="L101" s="435">
        <f t="shared" si="15"/>
        <v>0</v>
      </c>
    </row>
    <row r="102" spans="1:12" x14ac:dyDescent="0.2">
      <c r="A102" s="107">
        <v>85</v>
      </c>
      <c r="B102" s="107">
        <f t="shared" si="13"/>
        <v>2101</v>
      </c>
      <c r="C102" s="430"/>
      <c r="D102" s="435">
        <f t="shared" si="12"/>
        <v>0</v>
      </c>
      <c r="E102" s="435">
        <f t="shared" si="12"/>
        <v>0</v>
      </c>
      <c r="F102" s="435">
        <f t="shared" si="12"/>
        <v>0</v>
      </c>
      <c r="G102" s="107">
        <v>85</v>
      </c>
      <c r="H102" s="107">
        <f t="shared" si="14"/>
        <v>2101</v>
      </c>
      <c r="I102" s="107"/>
      <c r="J102" s="435">
        <f t="shared" si="15"/>
        <v>0</v>
      </c>
      <c r="K102" s="435">
        <f t="shared" si="15"/>
        <v>0</v>
      </c>
      <c r="L102" s="435">
        <f t="shared" si="15"/>
        <v>0</v>
      </c>
    </row>
    <row r="103" spans="1:12" x14ac:dyDescent="0.2">
      <c r="A103" s="107"/>
      <c r="B103" s="107"/>
      <c r="C103" s="107"/>
      <c r="D103" s="107"/>
      <c r="E103" s="107"/>
    </row>
    <row r="104" spans="1:12" x14ac:dyDescent="0.2">
      <c r="A104" s="107"/>
      <c r="B104" s="107"/>
      <c r="C104" s="107"/>
      <c r="D104" s="107"/>
      <c r="E104" s="107"/>
    </row>
    <row r="105" spans="1:12" s="326" customFormat="1" x14ac:dyDescent="0.2">
      <c r="A105" s="436" t="s">
        <v>151</v>
      </c>
      <c r="B105" s="436" t="s">
        <v>150</v>
      </c>
      <c r="C105" s="436"/>
      <c r="D105" s="436" t="s">
        <v>6</v>
      </c>
      <c r="E105" s="436" t="s">
        <v>4</v>
      </c>
      <c r="F105" s="417" t="s">
        <v>5</v>
      </c>
      <c r="G105" s="436" t="s">
        <v>151</v>
      </c>
      <c r="H105" s="436" t="s">
        <v>150</v>
      </c>
      <c r="I105" s="421"/>
      <c r="J105" s="436" t="s">
        <v>6</v>
      </c>
      <c r="K105" s="436" t="s">
        <v>4</v>
      </c>
      <c r="L105" s="417" t="s">
        <v>5</v>
      </c>
    </row>
    <row r="106" spans="1:12" x14ac:dyDescent="0.2">
      <c r="A106" s="354" t="str">
        <f>A5</f>
        <v>Traditional (1.0)/horizontal (2.0) levee construction</v>
      </c>
      <c r="B106" s="354">
        <f t="shared" ref="B106:B112" si="16">C5-B5+1</f>
        <v>25</v>
      </c>
      <c r="C106" s="354"/>
      <c r="D106" s="437">
        <f t="shared" ref="D106:F112" si="17">D5/$B106</f>
        <v>1251200</v>
      </c>
      <c r="E106" s="437">
        <f t="shared" si="17"/>
        <v>1560000</v>
      </c>
      <c r="F106" s="437">
        <f t="shared" si="17"/>
        <v>2262000</v>
      </c>
      <c r="G106" s="354" t="str">
        <f>G5</f>
        <v>Traditional (1.0)/horizontal (2.0) levee construction</v>
      </c>
      <c r="H106" s="354">
        <f t="shared" ref="H106:H112" si="18">I5-H5+1</f>
        <v>5</v>
      </c>
      <c r="I106" s="420"/>
      <c r="J106" s="438">
        <f t="shared" ref="J106:L112" si="19">J5/$H106</f>
        <v>726528</v>
      </c>
      <c r="K106" s="438">
        <f t="shared" si="19"/>
        <v>852192</v>
      </c>
      <c r="L106" s="438">
        <f t="shared" si="19"/>
        <v>976800</v>
      </c>
    </row>
    <row r="107" spans="1:12" x14ac:dyDescent="0.2">
      <c r="A107" s="354" t="str">
        <f>A6</f>
        <v>Pump station rebuild/replace</v>
      </c>
      <c r="B107" s="354">
        <f t="shared" si="16"/>
        <v>40</v>
      </c>
      <c r="C107" s="354"/>
      <c r="D107" s="437">
        <f t="shared" si="17"/>
        <v>2437500</v>
      </c>
      <c r="E107" s="437">
        <f t="shared" si="17"/>
        <v>3250000</v>
      </c>
      <c r="F107" s="437">
        <f t="shared" si="17"/>
        <v>4062500</v>
      </c>
      <c r="G107" s="354" t="str">
        <f>G6</f>
        <v>Pump station rebuild/replace</v>
      </c>
      <c r="H107" s="354">
        <f t="shared" si="18"/>
        <v>40</v>
      </c>
      <c r="I107" s="420"/>
      <c r="J107" s="438">
        <f t="shared" si="19"/>
        <v>562500</v>
      </c>
      <c r="K107" s="438">
        <f t="shared" si="19"/>
        <v>750000</v>
      </c>
      <c r="L107" s="438">
        <f t="shared" si="19"/>
        <v>937500</v>
      </c>
    </row>
    <row r="108" spans="1:12" x14ac:dyDescent="0.2">
      <c r="A108" s="354" t="str">
        <f>A7</f>
        <v>Levee removal</v>
      </c>
      <c r="B108" s="354">
        <f t="shared" si="16"/>
        <v>1</v>
      </c>
      <c r="C108" s="354"/>
      <c r="D108" s="437">
        <f t="shared" si="17"/>
        <v>0</v>
      </c>
      <c r="E108" s="437">
        <f t="shared" si="17"/>
        <v>0</v>
      </c>
      <c r="F108" s="437">
        <f t="shared" si="17"/>
        <v>0</v>
      </c>
      <c r="G108" s="354" t="str">
        <f>G7</f>
        <v>Levee removal</v>
      </c>
      <c r="H108" s="354">
        <f t="shared" si="18"/>
        <v>20</v>
      </c>
      <c r="I108" s="420"/>
      <c r="J108" s="438">
        <f t="shared" si="19"/>
        <v>521640</v>
      </c>
      <c r="K108" s="438">
        <f t="shared" si="19"/>
        <v>579600</v>
      </c>
      <c r="L108" s="438">
        <f t="shared" si="19"/>
        <v>753480</v>
      </c>
    </row>
    <row r="109" spans="1:12" x14ac:dyDescent="0.2">
      <c r="A109" s="354" t="str">
        <f>A8</f>
        <v>Habitat restoration</v>
      </c>
      <c r="B109" s="354">
        <f t="shared" si="16"/>
        <v>1</v>
      </c>
      <c r="C109" s="354"/>
      <c r="D109" s="437">
        <f t="shared" si="17"/>
        <v>0</v>
      </c>
      <c r="E109" s="437">
        <f t="shared" si="17"/>
        <v>0</v>
      </c>
      <c r="F109" s="437">
        <f t="shared" si="17"/>
        <v>0</v>
      </c>
      <c r="G109" s="354" t="str">
        <f>G8</f>
        <v>Habitat restoration</v>
      </c>
      <c r="H109" s="354">
        <f t="shared" si="18"/>
        <v>15</v>
      </c>
      <c r="I109" s="420"/>
      <c r="J109" s="438">
        <f t="shared" si="19"/>
        <v>4000</v>
      </c>
      <c r="K109" s="438">
        <f t="shared" si="19"/>
        <v>13200</v>
      </c>
      <c r="L109" s="438">
        <f t="shared" si="19"/>
        <v>60000</v>
      </c>
    </row>
    <row r="110" spans="1:12" x14ac:dyDescent="0.2">
      <c r="A110" s="354" t="s">
        <v>234</v>
      </c>
      <c r="B110" s="354">
        <f t="shared" si="16"/>
        <v>1</v>
      </c>
      <c r="C110" s="354"/>
      <c r="D110" s="437">
        <f t="shared" si="17"/>
        <v>0</v>
      </c>
      <c r="E110" s="437">
        <f t="shared" si="17"/>
        <v>0</v>
      </c>
      <c r="F110" s="437">
        <f t="shared" si="17"/>
        <v>0</v>
      </c>
      <c r="G110" s="354" t="s">
        <v>234</v>
      </c>
      <c r="H110" s="354">
        <f t="shared" si="18"/>
        <v>5</v>
      </c>
      <c r="I110" s="420"/>
      <c r="J110" s="438">
        <f t="shared" si="19"/>
        <v>8000000</v>
      </c>
      <c r="K110" s="438">
        <f t="shared" si="19"/>
        <v>14000000</v>
      </c>
      <c r="L110" s="438">
        <f t="shared" si="19"/>
        <v>20000000</v>
      </c>
    </row>
    <row r="111" spans="1:12" x14ac:dyDescent="0.2">
      <c r="A111" s="354" t="str">
        <f>A10</f>
        <v>Planning, Permitting, Design (% of constr)</v>
      </c>
      <c r="B111" s="354">
        <f t="shared" si="16"/>
        <v>6</v>
      </c>
      <c r="C111" s="354"/>
      <c r="D111" s="437">
        <f t="shared" si="17"/>
        <v>1073166.6666666667</v>
      </c>
      <c r="E111" s="437">
        <f t="shared" si="17"/>
        <v>1408333.3333333333</v>
      </c>
      <c r="F111" s="437">
        <f t="shared" si="17"/>
        <v>1825416.6666666667</v>
      </c>
      <c r="G111" s="354" t="str">
        <f>G10</f>
        <v>Planning, Permitting, Design (% of constr)</v>
      </c>
      <c r="H111" s="354">
        <f t="shared" si="18"/>
        <v>6</v>
      </c>
      <c r="I111" s="420"/>
      <c r="J111" s="438">
        <f t="shared" si="19"/>
        <v>638545.33333333337</v>
      </c>
      <c r="K111" s="438">
        <f t="shared" si="19"/>
        <v>967091.33333333337</v>
      </c>
      <c r="L111" s="438">
        <f t="shared" si="19"/>
        <v>1319613.3333333333</v>
      </c>
    </row>
    <row r="112" spans="1:12" x14ac:dyDescent="0.2">
      <c r="A112" s="354" t="str">
        <f>A11</f>
        <v>Monitoring (% of total Proj costs)</v>
      </c>
      <c r="B112" s="354">
        <f t="shared" si="16"/>
        <v>41</v>
      </c>
      <c r="C112" s="354"/>
      <c r="D112" s="437">
        <f t="shared" si="17"/>
        <v>32980.243902439026</v>
      </c>
      <c r="E112" s="437">
        <f t="shared" si="17"/>
        <v>43280.487804878052</v>
      </c>
      <c r="F112" s="437">
        <f t="shared" si="17"/>
        <v>56098.170731707316</v>
      </c>
      <c r="G112" s="354" t="str">
        <f>G11</f>
        <v>Monitoring (% of total Proj costs)</v>
      </c>
      <c r="H112" s="354">
        <f t="shared" si="18"/>
        <v>41</v>
      </c>
      <c r="I112" s="420"/>
      <c r="J112" s="438">
        <f t="shared" si="19"/>
        <v>19623.588292682925</v>
      </c>
      <c r="K112" s="438">
        <f t="shared" si="19"/>
        <v>29720.367804878049</v>
      </c>
      <c r="L112" s="438">
        <f t="shared" si="19"/>
        <v>40553.970731707319</v>
      </c>
    </row>
    <row r="113" spans="1:5" x14ac:dyDescent="0.2">
      <c r="A113" s="107"/>
      <c r="B113" s="107"/>
      <c r="C113" s="107"/>
      <c r="D113" s="107"/>
      <c r="E113" s="107"/>
    </row>
    <row r="114" spans="1:5" x14ac:dyDescent="0.2">
      <c r="A114" s="107"/>
      <c r="B114" s="107"/>
      <c r="C114" s="107"/>
      <c r="D114" s="107"/>
      <c r="E114" s="107"/>
    </row>
    <row r="115" spans="1:5" x14ac:dyDescent="0.2">
      <c r="A115" s="107"/>
      <c r="B115" s="107"/>
      <c r="C115" s="107"/>
      <c r="D115" s="107"/>
      <c r="E115" s="107"/>
    </row>
    <row r="116" spans="1:5" x14ac:dyDescent="0.2">
      <c r="A116" s="107"/>
      <c r="B116" s="107"/>
      <c r="C116" s="107"/>
      <c r="D116" s="107"/>
      <c r="E116" s="107"/>
    </row>
    <row r="117" spans="1:5" x14ac:dyDescent="0.2">
      <c r="A117" s="107"/>
      <c r="B117" s="107"/>
      <c r="C117" s="107"/>
      <c r="D117" s="107"/>
      <c r="E117" s="107"/>
    </row>
    <row r="118" spans="1:5" x14ac:dyDescent="0.2">
      <c r="A118" s="107"/>
      <c r="B118" s="107"/>
      <c r="C118" s="107"/>
      <c r="D118" s="107"/>
      <c r="E118" s="107"/>
    </row>
    <row r="119" spans="1:5" x14ac:dyDescent="0.2">
      <c r="A119" s="107"/>
      <c r="B119" s="107"/>
      <c r="C119" s="107"/>
      <c r="D119" s="107"/>
      <c r="E119" s="107"/>
    </row>
    <row r="120" spans="1:5" x14ac:dyDescent="0.2">
      <c r="A120" s="107"/>
      <c r="B120" s="107"/>
      <c r="C120" s="107"/>
      <c r="D120" s="107"/>
      <c r="E120" s="107"/>
    </row>
    <row r="121" spans="1:5" x14ac:dyDescent="0.2">
      <c r="A121" s="107"/>
      <c r="B121" s="107"/>
      <c r="C121" s="107"/>
      <c r="D121" s="107"/>
      <c r="E121" s="107"/>
    </row>
    <row r="122" spans="1:5" x14ac:dyDescent="0.2">
      <c r="A122" s="107"/>
      <c r="B122" s="107"/>
      <c r="C122" s="107"/>
      <c r="D122" s="107"/>
      <c r="E122" s="107"/>
    </row>
    <row r="123" spans="1:5" x14ac:dyDescent="0.2">
      <c r="A123" s="107"/>
      <c r="B123" s="107"/>
      <c r="C123" s="107"/>
      <c r="D123" s="107"/>
      <c r="E123" s="107"/>
    </row>
    <row r="124" spans="1:5" x14ac:dyDescent="0.2">
      <c r="A124" s="107"/>
      <c r="B124" s="107"/>
      <c r="C124" s="107"/>
      <c r="D124" s="107"/>
      <c r="E124" s="107"/>
    </row>
    <row r="125" spans="1:5" x14ac:dyDescent="0.2">
      <c r="A125" s="107"/>
      <c r="B125" s="107"/>
      <c r="C125" s="107"/>
      <c r="D125" s="107"/>
      <c r="E125" s="107"/>
    </row>
    <row r="126" spans="1:5" x14ac:dyDescent="0.2">
      <c r="A126" s="107"/>
      <c r="B126" s="107"/>
      <c r="C126" s="107"/>
      <c r="D126" s="107"/>
      <c r="E126" s="107"/>
    </row>
    <row r="127" spans="1:5" x14ac:dyDescent="0.2">
      <c r="A127" s="107"/>
      <c r="B127" s="107"/>
      <c r="C127" s="107"/>
      <c r="D127" s="107"/>
      <c r="E127" s="107"/>
    </row>
    <row r="128" spans="1:5" x14ac:dyDescent="0.2">
      <c r="A128" s="107"/>
      <c r="B128" s="107"/>
      <c r="C128" s="107"/>
      <c r="D128" s="107"/>
      <c r="E128" s="107"/>
    </row>
    <row r="129" spans="1:5" x14ac:dyDescent="0.2">
      <c r="A129" s="107"/>
      <c r="B129" s="107"/>
      <c r="C129" s="107"/>
      <c r="D129" s="107"/>
      <c r="E129" s="107"/>
    </row>
    <row r="130" spans="1:5" x14ac:dyDescent="0.2">
      <c r="A130" s="107"/>
      <c r="B130" s="107"/>
      <c r="C130" s="107"/>
      <c r="D130" s="107"/>
      <c r="E130" s="107"/>
    </row>
    <row r="131" spans="1:5" x14ac:dyDescent="0.2">
      <c r="A131" s="107"/>
      <c r="B131" s="107"/>
      <c r="C131" s="107"/>
      <c r="D131" s="107"/>
      <c r="E131" s="107"/>
    </row>
    <row r="132" spans="1:5" x14ac:dyDescent="0.2">
      <c r="A132" s="107"/>
      <c r="B132" s="107"/>
      <c r="C132" s="107"/>
      <c r="D132" s="107"/>
      <c r="E132" s="107"/>
    </row>
    <row r="133" spans="1:5" x14ac:dyDescent="0.2">
      <c r="A133" s="107"/>
      <c r="B133" s="107"/>
      <c r="C133" s="107"/>
      <c r="D133" s="107"/>
      <c r="E133" s="107"/>
    </row>
    <row r="134" spans="1:5" x14ac:dyDescent="0.2">
      <c r="A134" s="107"/>
      <c r="B134" s="107"/>
      <c r="C134" s="107"/>
      <c r="D134" s="107"/>
      <c r="E134" s="107"/>
    </row>
    <row r="135" spans="1:5" x14ac:dyDescent="0.2">
      <c r="A135" s="107"/>
      <c r="B135" s="107"/>
      <c r="C135" s="107"/>
      <c r="D135" s="107"/>
      <c r="E135" s="107"/>
    </row>
    <row r="136" spans="1:5" x14ac:dyDescent="0.2">
      <c r="A136" s="107"/>
      <c r="B136" s="107"/>
      <c r="C136" s="107"/>
      <c r="D136" s="107"/>
      <c r="E136" s="107"/>
    </row>
    <row r="137" spans="1:5" x14ac:dyDescent="0.2">
      <c r="A137" s="107"/>
      <c r="B137" s="107"/>
      <c r="C137" s="107"/>
      <c r="D137" s="107"/>
      <c r="E137" s="107"/>
    </row>
    <row r="138" spans="1:5" x14ac:dyDescent="0.2">
      <c r="A138" s="107"/>
      <c r="B138" s="107"/>
      <c r="C138" s="107"/>
      <c r="D138" s="107"/>
      <c r="E138" s="107"/>
    </row>
    <row r="139" spans="1:5" x14ac:dyDescent="0.2">
      <c r="A139" s="107"/>
      <c r="B139" s="107"/>
      <c r="C139" s="107"/>
      <c r="D139" s="107"/>
      <c r="E139" s="107"/>
    </row>
    <row r="140" spans="1:5" x14ac:dyDescent="0.2">
      <c r="A140" s="107"/>
      <c r="B140" s="107"/>
      <c r="C140" s="107"/>
      <c r="D140" s="107"/>
      <c r="E140" s="107"/>
    </row>
    <row r="141" spans="1:5" x14ac:dyDescent="0.2">
      <c r="A141" s="107"/>
      <c r="B141" s="107"/>
      <c r="C141" s="107"/>
      <c r="D141" s="107"/>
      <c r="E141" s="107"/>
    </row>
    <row r="142" spans="1:5" x14ac:dyDescent="0.2">
      <c r="A142" s="107"/>
      <c r="B142" s="107"/>
      <c r="C142" s="107"/>
      <c r="D142" s="107"/>
      <c r="E142" s="107"/>
    </row>
    <row r="143" spans="1:5" x14ac:dyDescent="0.2">
      <c r="A143" s="107"/>
      <c r="B143" s="107"/>
      <c r="C143" s="107"/>
      <c r="D143" s="107"/>
      <c r="E143" s="107"/>
    </row>
    <row r="144" spans="1:5" x14ac:dyDescent="0.2">
      <c r="A144" s="107"/>
      <c r="B144" s="107"/>
      <c r="C144" s="107"/>
      <c r="D144" s="107"/>
      <c r="E144" s="107"/>
    </row>
    <row r="145" spans="1:5" x14ac:dyDescent="0.2">
      <c r="A145" s="107"/>
      <c r="B145" s="107"/>
      <c r="C145" s="107"/>
      <c r="D145" s="107"/>
      <c r="E145" s="107"/>
    </row>
    <row r="146" spans="1:5" x14ac:dyDescent="0.2">
      <c r="A146" s="107"/>
      <c r="B146" s="107"/>
      <c r="C146" s="107"/>
      <c r="D146" s="107"/>
      <c r="E146" s="107"/>
    </row>
    <row r="147" spans="1:5" x14ac:dyDescent="0.2">
      <c r="A147" s="107"/>
      <c r="B147" s="107"/>
      <c r="C147" s="107"/>
      <c r="D147" s="107"/>
      <c r="E147" s="107"/>
    </row>
    <row r="148" spans="1:5" x14ac:dyDescent="0.2">
      <c r="A148" s="107"/>
      <c r="B148" s="107"/>
      <c r="C148" s="107"/>
      <c r="D148" s="107"/>
      <c r="E148" s="107"/>
    </row>
    <row r="149" spans="1:5" x14ac:dyDescent="0.2">
      <c r="A149" s="107"/>
      <c r="B149" s="107"/>
      <c r="C149" s="107"/>
      <c r="D149" s="107"/>
      <c r="E149" s="107"/>
    </row>
    <row r="150" spans="1:5" x14ac:dyDescent="0.2">
      <c r="A150" s="107"/>
      <c r="B150" s="107"/>
      <c r="C150" s="107"/>
      <c r="D150" s="107"/>
      <c r="E150" s="107"/>
    </row>
    <row r="151" spans="1:5" x14ac:dyDescent="0.2">
      <c r="A151" s="107"/>
      <c r="B151" s="107"/>
      <c r="C151" s="107"/>
      <c r="D151" s="107"/>
      <c r="E151" s="107"/>
    </row>
    <row r="152" spans="1:5" x14ac:dyDescent="0.2">
      <c r="A152" s="107"/>
      <c r="B152" s="107"/>
      <c r="C152" s="107"/>
      <c r="D152" s="107"/>
      <c r="E152" s="107"/>
    </row>
    <row r="153" spans="1:5" x14ac:dyDescent="0.2">
      <c r="A153" s="107"/>
      <c r="B153" s="107"/>
      <c r="C153" s="107"/>
      <c r="D153" s="107"/>
      <c r="E153" s="107"/>
    </row>
    <row r="154" spans="1:5" x14ac:dyDescent="0.2">
      <c r="A154" s="107"/>
      <c r="B154" s="107"/>
      <c r="C154" s="107"/>
      <c r="D154" s="107"/>
      <c r="E154" s="107"/>
    </row>
    <row r="155" spans="1:5" x14ac:dyDescent="0.2">
      <c r="A155" s="107"/>
      <c r="B155" s="107"/>
      <c r="C155" s="107"/>
      <c r="D155" s="107"/>
      <c r="E155" s="107"/>
    </row>
    <row r="156" spans="1:5" x14ac:dyDescent="0.2">
      <c r="A156" s="107"/>
      <c r="B156" s="107"/>
      <c r="C156" s="107"/>
      <c r="D156" s="107"/>
      <c r="E156" s="107"/>
    </row>
    <row r="157" spans="1:5" x14ac:dyDescent="0.2">
      <c r="A157" s="107"/>
      <c r="B157" s="107"/>
      <c r="C157" s="107"/>
      <c r="D157" s="107"/>
      <c r="E157" s="107"/>
    </row>
    <row r="158" spans="1:5" x14ac:dyDescent="0.2">
      <c r="A158" s="107"/>
      <c r="B158" s="107"/>
      <c r="C158" s="107"/>
      <c r="D158" s="107"/>
      <c r="E158" s="107"/>
    </row>
    <row r="159" spans="1:5" x14ac:dyDescent="0.2">
      <c r="A159" s="107"/>
      <c r="B159" s="107"/>
      <c r="C159" s="107"/>
      <c r="D159" s="107"/>
      <c r="E159" s="107"/>
    </row>
    <row r="160" spans="1:5" x14ac:dyDescent="0.2">
      <c r="A160" s="107"/>
      <c r="B160" s="107"/>
      <c r="C160" s="107"/>
      <c r="D160" s="107"/>
      <c r="E160" s="107"/>
    </row>
    <row r="161" spans="1:5" x14ac:dyDescent="0.2">
      <c r="A161" s="107"/>
      <c r="B161" s="107"/>
      <c r="C161" s="107"/>
      <c r="D161" s="107"/>
      <c r="E161" s="107"/>
    </row>
    <row r="162" spans="1:5" x14ac:dyDescent="0.2">
      <c r="A162" s="107"/>
      <c r="B162" s="107"/>
      <c r="C162" s="107"/>
      <c r="D162" s="107"/>
      <c r="E162" s="107"/>
    </row>
    <row r="163" spans="1:5" x14ac:dyDescent="0.2">
      <c r="A163" s="107"/>
      <c r="B163" s="107"/>
      <c r="C163" s="107"/>
      <c r="D163" s="107"/>
      <c r="E163" s="107"/>
    </row>
    <row r="164" spans="1:5" x14ac:dyDescent="0.2">
      <c r="A164" s="107"/>
      <c r="B164" s="107"/>
      <c r="C164" s="107"/>
      <c r="D164" s="107"/>
      <c r="E164" s="107"/>
    </row>
    <row r="165" spans="1:5" x14ac:dyDescent="0.2">
      <c r="A165" s="107"/>
      <c r="B165" s="107"/>
      <c r="C165" s="107"/>
      <c r="D165" s="107"/>
      <c r="E165" s="107"/>
    </row>
  </sheetData>
  <phoneticPr fontId="33" type="noConversion"/>
  <dataValidations count="1">
    <dataValidation allowBlank="1" showInputMessage="1" showErrorMessage="1" promptTitle="&lt;Click to Select Discount Rate&gt;" sqref="B13:B14"/>
  </dataValidations>
  <pageMargins left="0.5" right="0.5" top="1" bottom="1" header="0.5" footer="0.5"/>
  <pageSetup orientation="portrait" horizontalDpi="4294967292" verticalDpi="4294967292" r:id="rId1"/>
  <headerFooter>
    <oddHeader>&amp;C&amp;"Calibri (Body),Bold"&amp;14Capital Cost Projections</oddHeader>
    <oddFooter>&amp;LFlood Control 2.0: Benefit-Cost Tool&amp;RJanuary 2016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75" zoomScaleNormal="75" zoomScalePageLayoutView="75" workbookViewId="0">
      <selection activeCell="P5" sqref="P5:Q8"/>
    </sheetView>
  </sheetViews>
  <sheetFormatPr defaultColWidth="10.875" defaultRowHeight="12.75" x14ac:dyDescent="0.2"/>
  <cols>
    <col min="1" max="1" width="26.875" style="22" bestFit="1" customWidth="1"/>
    <col min="2" max="2" width="7.125" style="22" customWidth="1"/>
    <col min="3" max="3" width="7" style="22" customWidth="1"/>
    <col min="4" max="7" width="7.125" style="22" customWidth="1"/>
    <col min="8" max="8" width="4" style="22" customWidth="1"/>
    <col min="9" max="9" width="26.875" style="22" customWidth="1"/>
    <col min="10" max="15" width="7.125" style="22" customWidth="1"/>
    <col min="16" max="16384" width="10.875" style="21"/>
  </cols>
  <sheetData>
    <row r="1" spans="1:20" s="18" customFormat="1" ht="15.75" x14ac:dyDescent="0.25">
      <c r="A1" s="17" t="str">
        <f>Project_Master!B14</f>
        <v>FC 1.0/No Action</v>
      </c>
      <c r="B1" s="17"/>
      <c r="C1" s="17"/>
      <c r="D1" s="17"/>
      <c r="E1" s="17"/>
      <c r="F1" s="17"/>
      <c r="G1" s="17"/>
      <c r="H1" s="17"/>
      <c r="I1" s="17" t="str">
        <f>Project_Master!$B$15</f>
        <v>FC 2.0</v>
      </c>
      <c r="J1" s="17"/>
      <c r="K1" s="17"/>
      <c r="L1" s="17"/>
      <c r="M1" s="17"/>
      <c r="N1" s="17"/>
      <c r="O1" s="17"/>
    </row>
    <row r="3" spans="1:20" s="20" customFormat="1" x14ac:dyDescent="0.2">
      <c r="A3" s="183" t="s">
        <v>13</v>
      </c>
      <c r="B3" s="490" t="s">
        <v>6</v>
      </c>
      <c r="C3" s="491"/>
      <c r="D3" s="490" t="s">
        <v>4</v>
      </c>
      <c r="E3" s="491"/>
      <c r="F3" s="490" t="s">
        <v>5</v>
      </c>
      <c r="G3" s="491"/>
      <c r="H3" s="19"/>
      <c r="I3" s="183" t="s">
        <v>13</v>
      </c>
      <c r="J3" s="490" t="s">
        <v>6</v>
      </c>
      <c r="K3" s="491"/>
      <c r="L3" s="490" t="s">
        <v>4</v>
      </c>
      <c r="M3" s="491"/>
      <c r="N3" s="490" t="s">
        <v>5</v>
      </c>
      <c r="O3" s="491"/>
    </row>
    <row r="4" spans="1:20" x14ac:dyDescent="0.2">
      <c r="A4" s="27" t="s">
        <v>148</v>
      </c>
      <c r="B4" s="187" t="s">
        <v>14</v>
      </c>
      <c r="C4" s="187" t="s">
        <v>15</v>
      </c>
      <c r="D4" s="187" t="s">
        <v>14</v>
      </c>
      <c r="E4" s="187" t="s">
        <v>15</v>
      </c>
      <c r="F4" s="187" t="s">
        <v>14</v>
      </c>
      <c r="G4" s="187" t="s">
        <v>15</v>
      </c>
      <c r="I4" s="27" t="s">
        <v>148</v>
      </c>
      <c r="J4" s="190" t="s">
        <v>14</v>
      </c>
      <c r="K4" s="190" t="s">
        <v>15</v>
      </c>
      <c r="L4" s="190" t="s">
        <v>14</v>
      </c>
      <c r="M4" s="190" t="s">
        <v>15</v>
      </c>
      <c r="N4" s="190" t="s">
        <v>14</v>
      </c>
      <c r="O4" s="190" t="s">
        <v>15</v>
      </c>
    </row>
    <row r="5" spans="1:20" x14ac:dyDescent="0.2">
      <c r="A5" s="23" t="s">
        <v>147</v>
      </c>
      <c r="B5" s="396">
        <f>(Benefits_FloodRisk!$C$39)/1000000</f>
        <v>2.4116058000000002</v>
      </c>
      <c r="C5" s="396">
        <f>(Benefits_FloodRisk!$C$41)/1000000</f>
        <v>57.863830130407393</v>
      </c>
      <c r="D5" s="396">
        <f>(Benefits_FloodRisk!$D$39)/1000000</f>
        <v>2.6795620000000002</v>
      </c>
      <c r="E5" s="396">
        <f>(Benefits_FloodRisk!$D$41)/1000000</f>
        <v>64.293144589341537</v>
      </c>
      <c r="F5" s="396">
        <f>(Benefits_FloodRisk!$E$39)/1000000</f>
        <v>3.4834306000000002</v>
      </c>
      <c r="G5" s="396">
        <f>(Benefits_FloodRisk!$E$41)/1000000</f>
        <v>83.581087966144011</v>
      </c>
      <c r="H5" s="28"/>
      <c r="I5" s="23" t="s">
        <v>147</v>
      </c>
      <c r="J5" s="396">
        <f>(Benefits_FloodRisk!$H$39)/1000000</f>
        <v>2.4116058000000002</v>
      </c>
      <c r="K5" s="396">
        <f>(Benefits_FloodRisk!$H$41)/1000000</f>
        <v>57.863830130407393</v>
      </c>
      <c r="L5" s="396">
        <f>(Benefits_FloodRisk!$I$39)/1000000</f>
        <v>2.6795620000000002</v>
      </c>
      <c r="M5" s="396">
        <f>(Benefits_FloodRisk!$I$41)/1000000</f>
        <v>64.293144589341537</v>
      </c>
      <c r="N5" s="396">
        <f>(Benefits_FloodRisk!$J$39)/1000000</f>
        <v>3.4834306000000002</v>
      </c>
      <c r="O5" s="396">
        <f>(Benefits_FloodRisk!$J$41)/1000000</f>
        <v>83.581087966144011</v>
      </c>
      <c r="P5" s="483"/>
      <c r="Q5" s="483"/>
    </row>
    <row r="6" spans="1:20" x14ac:dyDescent="0.2">
      <c r="A6" s="189" t="s">
        <v>243</v>
      </c>
      <c r="B6" s="397">
        <f>Benefits_Rec!F51/1000000</f>
        <v>1.6957693145454542</v>
      </c>
      <c r="C6" s="397">
        <f>Benefits_Rec!G51/1000000</f>
        <v>40.688120569794421</v>
      </c>
      <c r="D6" s="397">
        <f>Benefits_Rec!F52/1000000</f>
        <v>1.884188127272727</v>
      </c>
      <c r="E6" s="397">
        <f>Benefits_Rec!G52/1000000</f>
        <v>45.209022855327134</v>
      </c>
      <c r="F6" s="397">
        <f>Benefits_Rec!F53/1000000</f>
        <v>2.07260694</v>
      </c>
      <c r="G6" s="397">
        <f>Benefits_Rec!G53/1000000</f>
        <v>49.729925140859855</v>
      </c>
      <c r="H6" s="28"/>
      <c r="I6" s="189" t="s">
        <v>243</v>
      </c>
      <c r="J6" s="397">
        <f>(Benefits_Rec!$F$56)/1000000</f>
        <v>2.6425188510619848</v>
      </c>
      <c r="K6" s="397">
        <f>(Benefits_Rec!$G$56)/1000000</f>
        <v>63.404334951528973</v>
      </c>
      <c r="L6" s="397">
        <f>(Benefits_Rec!$F$57)/1000000</f>
        <v>2.9361320567355387</v>
      </c>
      <c r="M6" s="397">
        <f>(Benefits_Rec!$G$57)/1000000</f>
        <v>70.449261057254418</v>
      </c>
      <c r="N6" s="397">
        <f>(Benefits_Rec!$F$58)/1000000</f>
        <v>3.229745262409093</v>
      </c>
      <c r="O6" s="397">
        <f>(Benefits_Rec!$G$58)/1000000</f>
        <v>77.49418716297987</v>
      </c>
      <c r="P6" s="483"/>
      <c r="Q6" s="483"/>
    </row>
    <row r="7" spans="1:20" x14ac:dyDescent="0.2">
      <c r="A7" s="189" t="s">
        <v>249</v>
      </c>
      <c r="B7" s="397">
        <f>Ag_Revenues!B22/1000000</f>
        <v>0.41947896605615687</v>
      </c>
      <c r="C7" s="397">
        <f>Ag_Revenues!C22/1000000</f>
        <v>10.063300395687202</v>
      </c>
      <c r="D7" s="397">
        <f>Ag_Revenues!B23/1000000</f>
        <v>0.55942767447979569</v>
      </c>
      <c r="E7" s="397">
        <f>Ag_Revenues!C23/1000000</f>
        <v>13.420669910770298</v>
      </c>
      <c r="F7" s="397">
        <f>Ag_Revenues!B24/1000000</f>
        <v>0.70472568957775905</v>
      </c>
      <c r="G7" s="397">
        <f>Ag_Revenues!C24/1000000</f>
        <v>16.906369292970439</v>
      </c>
      <c r="H7" s="28"/>
      <c r="I7" s="189" t="s">
        <v>249</v>
      </c>
      <c r="J7" s="397">
        <f>Ag_Revenues!B22/1000000</f>
        <v>0.41947896605615687</v>
      </c>
      <c r="K7" s="397">
        <f>Ag_Revenues!D22/1000000</f>
        <v>1.8806340283197016</v>
      </c>
      <c r="L7" s="397">
        <f>Ag_Revenues!B23/1000000</f>
        <v>0.55942767447979569</v>
      </c>
      <c r="M7" s="397">
        <f>Ag_Revenues!D23/1000000</f>
        <v>2.508060728054756</v>
      </c>
      <c r="N7" s="397">
        <f>Ag_Revenues!B24/1000000</f>
        <v>0.70472568957775905</v>
      </c>
      <c r="O7" s="397">
        <f>Ag_Revenues!D24/1000000</f>
        <v>3.1594697701089847</v>
      </c>
      <c r="P7" s="483"/>
      <c r="Q7" s="483"/>
    </row>
    <row r="8" spans="1:20" x14ac:dyDescent="0.2">
      <c r="A8" s="24" t="s">
        <v>242</v>
      </c>
      <c r="B8" s="399">
        <f>Benefits_Env_Other!$O$3/1000000</f>
        <v>6.3248705742716673E-3</v>
      </c>
      <c r="C8" s="399">
        <f>Benefits_Env_Other!$O$2/1000000</f>
        <v>0.15175831659820521</v>
      </c>
      <c r="D8" s="399">
        <f>Benefits_Env_Other!$P$3/1000000</f>
        <v>5.4234320159887801</v>
      </c>
      <c r="E8" s="399">
        <f>Benefits_Env_Other!$P$2/1000000</f>
        <v>130.12928932953622</v>
      </c>
      <c r="F8" s="399">
        <f>Benefits_Env_Other!$Q$3/1000000</f>
        <v>13.84342849389237</v>
      </c>
      <c r="G8" s="399">
        <f>Benefits_Env_Other!$Q$2/1000000</f>
        <v>332.15784884620422</v>
      </c>
      <c r="H8" s="28"/>
      <c r="I8" s="24" t="s">
        <v>242</v>
      </c>
      <c r="J8" s="399">
        <f>Benefits_Env_Other!$Y$3/1000000</f>
        <v>7.0640137685911014E-3</v>
      </c>
      <c r="K8" s="399">
        <f>Benefits_Env_Other!$Y$2/1000000</f>
        <v>0.1694932450173301</v>
      </c>
      <c r="L8" s="399">
        <f>Benefits_Env_Other!$Z$3/1000000</f>
        <v>6.1263543001479599</v>
      </c>
      <c r="M8" s="399">
        <f>Benefits_Env_Other!$Z$2/1000000</f>
        <v>146.99513682644667</v>
      </c>
      <c r="N8" s="399">
        <f>Benefits_Env_Other!$AA$3/1000000</f>
        <v>15.60276443763051</v>
      </c>
      <c r="O8" s="399">
        <f>Benefits_Env_Other!$AA$2/1000000</f>
        <v>374.37118080567444</v>
      </c>
      <c r="P8" s="483"/>
      <c r="Q8" s="483"/>
    </row>
    <row r="9" spans="1:20" s="20" customFormat="1" x14ac:dyDescent="0.2">
      <c r="A9" s="19" t="s">
        <v>17</v>
      </c>
      <c r="B9" s="398">
        <f>SUM(B5:B8)</f>
        <v>4.5331789511758824</v>
      </c>
      <c r="C9" s="398">
        <f t="shared" ref="C9:G9" si="0">SUM(C5:C8)</f>
        <v>108.76700941248723</v>
      </c>
      <c r="D9" s="398">
        <f t="shared" si="0"/>
        <v>10.546609817741302</v>
      </c>
      <c r="E9" s="398">
        <f t="shared" si="0"/>
        <v>253.05212668497518</v>
      </c>
      <c r="F9" s="398">
        <f t="shared" si="0"/>
        <v>20.10419172347013</v>
      </c>
      <c r="G9" s="398">
        <f t="shared" si="0"/>
        <v>482.37523124617854</v>
      </c>
      <c r="H9" s="30"/>
      <c r="I9" s="19" t="s">
        <v>17</v>
      </c>
      <c r="J9" s="398">
        <f t="shared" ref="J9:O9" si="1">SUM(J5:J8)</f>
        <v>5.4806676308867326</v>
      </c>
      <c r="K9" s="398">
        <f t="shared" si="1"/>
        <v>123.3182923552734</v>
      </c>
      <c r="L9" s="398">
        <f t="shared" si="1"/>
        <v>12.301476031363293</v>
      </c>
      <c r="M9" s="398">
        <f t="shared" si="1"/>
        <v>284.24560320109737</v>
      </c>
      <c r="N9" s="398">
        <f t="shared" si="1"/>
        <v>23.020665989617363</v>
      </c>
      <c r="O9" s="398">
        <f t="shared" si="1"/>
        <v>538.60592570490735</v>
      </c>
    </row>
    <row r="10" spans="1:20" x14ac:dyDescent="0.2">
      <c r="H10" s="28"/>
    </row>
    <row r="11" spans="1:20" s="20" customFormat="1" x14ac:dyDescent="0.2">
      <c r="A11" s="183" t="s">
        <v>18</v>
      </c>
      <c r="B11" s="490" t="s">
        <v>6</v>
      </c>
      <c r="C11" s="491"/>
      <c r="D11" s="490" t="s">
        <v>4</v>
      </c>
      <c r="E11" s="491"/>
      <c r="F11" s="490" t="s">
        <v>5</v>
      </c>
      <c r="G11" s="491"/>
      <c r="H11" s="30"/>
      <c r="I11" s="183" t="s">
        <v>18</v>
      </c>
      <c r="J11" s="490" t="s">
        <v>6</v>
      </c>
      <c r="K11" s="491"/>
      <c r="L11" s="490" t="s">
        <v>4</v>
      </c>
      <c r="M11" s="491"/>
      <c r="N11" s="490" t="s">
        <v>5</v>
      </c>
      <c r="O11" s="491"/>
      <c r="P11" s="21"/>
      <c r="Q11" s="21"/>
      <c r="R11" s="21"/>
      <c r="S11" s="21"/>
      <c r="T11" s="21"/>
    </row>
    <row r="12" spans="1:20" x14ac:dyDescent="0.2">
      <c r="A12" s="27" t="s">
        <v>148</v>
      </c>
      <c r="B12" s="41" t="s">
        <v>14</v>
      </c>
      <c r="C12" s="41" t="s">
        <v>15</v>
      </c>
      <c r="D12" s="41" t="s">
        <v>14</v>
      </c>
      <c r="E12" s="41" t="s">
        <v>15</v>
      </c>
      <c r="F12" s="41" t="s">
        <v>14</v>
      </c>
      <c r="G12" s="41" t="s">
        <v>15</v>
      </c>
      <c r="H12" s="31"/>
      <c r="I12" s="27" t="s">
        <v>148</v>
      </c>
      <c r="J12" s="41" t="s">
        <v>14</v>
      </c>
      <c r="K12" s="41" t="s">
        <v>15</v>
      </c>
      <c r="L12" s="41" t="s">
        <v>14</v>
      </c>
      <c r="M12" s="41" t="s">
        <v>15</v>
      </c>
      <c r="N12" s="41" t="s">
        <v>14</v>
      </c>
      <c r="O12" s="41" t="s">
        <v>15</v>
      </c>
    </row>
    <row r="13" spans="1:20" x14ac:dyDescent="0.2">
      <c r="A13" s="23" t="s">
        <v>19</v>
      </c>
      <c r="B13" s="396">
        <f>(Costs_Capital!D14)/1000000</f>
        <v>2.5504050841946997</v>
      </c>
      <c r="C13" s="396">
        <f>(Costs_Capital!D13)/1000000</f>
        <v>61.1941663747738</v>
      </c>
      <c r="D13" s="396">
        <f>(Costs_Capital!E14)/1000000</f>
        <v>3.3319491671889381</v>
      </c>
      <c r="E13" s="396">
        <f>(Costs_Capital!E13)/1000000</f>
        <v>79.946457507015893</v>
      </c>
      <c r="F13" s="396">
        <f>(Costs_Capital!F14)/1000000</f>
        <v>4.3626000199040913</v>
      </c>
      <c r="G13" s="396">
        <f>(Costs_Capital!F13)/1000000</f>
        <v>104.67579173952981</v>
      </c>
      <c r="H13" s="31"/>
      <c r="I13" s="23" t="s">
        <v>19</v>
      </c>
      <c r="J13" s="396">
        <f>(Costs_Capital!J14)/1000000</f>
        <v>2.1169602772351044</v>
      </c>
      <c r="K13" s="396">
        <f>(Costs_Capital!J13)/1000000</f>
        <v>50.794134710885253</v>
      </c>
      <c r="L13" s="396">
        <f>(Costs_Capital!K14)/1000000</f>
        <v>3.3131713507413978</v>
      </c>
      <c r="M13" s="396">
        <f>(Costs_Capital!K13)/1000000</f>
        <v>79.495904443517517</v>
      </c>
      <c r="N13" s="396">
        <f>(Costs_Capital!L14)/1000000</f>
        <v>4.5885610546777187</v>
      </c>
      <c r="O13" s="396">
        <f>(Costs_Capital!L13)/1000000</f>
        <v>110.09747837348642</v>
      </c>
    </row>
    <row r="14" spans="1:20" x14ac:dyDescent="0.2">
      <c r="A14" s="24" t="s">
        <v>20</v>
      </c>
      <c r="B14" s="399">
        <f>(Costs_O_and_M!E43)/1000000</f>
        <v>1.2656700000000001</v>
      </c>
      <c r="C14" s="399">
        <f>(Costs_O_and_M!E45)/1000000</f>
        <v>30.36836031873564</v>
      </c>
      <c r="D14" s="399">
        <f>(Costs_O_and_M!F43)/1000000</f>
        <v>1.4063000000000001</v>
      </c>
      <c r="E14" s="399">
        <f>(Costs_O_and_M!F45)/1000000</f>
        <v>33.742622576372938</v>
      </c>
      <c r="F14" s="399">
        <f>(Costs_O_and_M!G43)/1000000</f>
        <v>1.82819</v>
      </c>
      <c r="G14" s="399">
        <f>(Costs_O_and_M!G45)/1000000</f>
        <v>43.865409349284811</v>
      </c>
      <c r="H14" s="28"/>
      <c r="I14" s="24" t="s">
        <v>20</v>
      </c>
      <c r="J14" s="399">
        <f>(Costs_O_and_M!$I$43)/1000000</f>
        <v>1.0040625000000001</v>
      </c>
      <c r="K14" s="399">
        <f>(Costs_O_and_M!$I$45)/1000000</f>
        <v>24.091375937274726</v>
      </c>
      <c r="L14" s="399">
        <f>(Costs_O_and_M!$J$43)/1000000</f>
        <v>1.1156250000000001</v>
      </c>
      <c r="M14" s="399">
        <f>(Costs_O_and_M!$J$45)/1000000</f>
        <v>26.768195485860808</v>
      </c>
      <c r="N14" s="399">
        <f>(Costs_O_and_M!$K$43)/1000000</f>
        <v>1.4503124999999999</v>
      </c>
      <c r="O14" s="399">
        <f>(Costs_O_and_M!$K$45)/1000000</f>
        <v>34.798654131619053</v>
      </c>
    </row>
    <row r="15" spans="1:20" s="20" customFormat="1" x14ac:dyDescent="0.2">
      <c r="A15" s="19" t="s">
        <v>21</v>
      </c>
      <c r="B15" s="400">
        <f t="shared" ref="B15:G15" si="2">SUM(B13:B14)</f>
        <v>3.8160750841946998</v>
      </c>
      <c r="C15" s="400">
        <f t="shared" si="2"/>
        <v>91.56252669350944</v>
      </c>
      <c r="D15" s="400">
        <f t="shared" si="2"/>
        <v>4.738249167188938</v>
      </c>
      <c r="E15" s="400">
        <f t="shared" si="2"/>
        <v>113.68908008338883</v>
      </c>
      <c r="F15" s="400">
        <f t="shared" si="2"/>
        <v>6.1907900199040915</v>
      </c>
      <c r="G15" s="400">
        <f t="shared" si="2"/>
        <v>148.54120108881463</v>
      </c>
      <c r="H15" s="30"/>
      <c r="I15" s="19" t="s">
        <v>21</v>
      </c>
      <c r="J15" s="400">
        <f t="shared" ref="J15:O15" si="3">SUM(J13:J14)</f>
        <v>3.1210227772351047</v>
      </c>
      <c r="K15" s="400">
        <f t="shared" si="3"/>
        <v>74.885510648159979</v>
      </c>
      <c r="L15" s="400">
        <f t="shared" si="3"/>
        <v>4.4287963507413979</v>
      </c>
      <c r="M15" s="400">
        <f t="shared" si="3"/>
        <v>106.26409992937832</v>
      </c>
      <c r="N15" s="400">
        <f t="shared" si="3"/>
        <v>6.0388735546777186</v>
      </c>
      <c r="O15" s="400">
        <f t="shared" si="3"/>
        <v>144.89613250510547</v>
      </c>
    </row>
    <row r="17" spans="1:12" s="20" customFormat="1" x14ac:dyDescent="0.2">
      <c r="A17" s="19" t="s">
        <v>22</v>
      </c>
      <c r="H17" s="19"/>
      <c r="I17" s="19" t="s">
        <v>22</v>
      </c>
    </row>
    <row r="18" spans="1:12" x14ac:dyDescent="0.2">
      <c r="A18" s="25"/>
      <c r="B18" s="487" t="s">
        <v>23</v>
      </c>
      <c r="C18" s="488"/>
      <c r="D18" s="489"/>
      <c r="I18" s="25"/>
      <c r="J18" s="487" t="s">
        <v>23</v>
      </c>
      <c r="K18" s="488"/>
      <c r="L18" s="489"/>
    </row>
    <row r="19" spans="1:12" x14ac:dyDescent="0.2">
      <c r="A19" s="26" t="s">
        <v>24</v>
      </c>
      <c r="B19" s="187" t="s">
        <v>6</v>
      </c>
      <c r="C19" s="187" t="s">
        <v>4</v>
      </c>
      <c r="D19" s="188" t="s">
        <v>5</v>
      </c>
      <c r="I19" s="26" t="s">
        <v>24</v>
      </c>
      <c r="J19" s="187" t="s">
        <v>6</v>
      </c>
      <c r="K19" s="187" t="s">
        <v>4</v>
      </c>
      <c r="L19" s="188" t="s">
        <v>5</v>
      </c>
    </row>
    <row r="20" spans="1:12" x14ac:dyDescent="0.2">
      <c r="A20" s="26" t="s">
        <v>6</v>
      </c>
      <c r="B20" s="471">
        <f>C9/C15</f>
        <v>1.187898732595781</v>
      </c>
      <c r="C20" s="472">
        <f>E9/C15</f>
        <v>2.7637084277067379</v>
      </c>
      <c r="D20" s="473">
        <f>G9/C15</f>
        <v>5.26826037534821</v>
      </c>
      <c r="I20" s="26" t="s">
        <v>6</v>
      </c>
      <c r="J20" s="471">
        <f>K9/K15</f>
        <v>1.6467577143817402</v>
      </c>
      <c r="K20" s="472">
        <f>M9/K15</f>
        <v>3.7957356602212289</v>
      </c>
      <c r="L20" s="473">
        <f>O9/K15</f>
        <v>7.192391706260489</v>
      </c>
    </row>
    <row r="21" spans="1:12" x14ac:dyDescent="0.2">
      <c r="A21" s="26" t="s">
        <v>4</v>
      </c>
      <c r="B21" s="474">
        <f>C9/E15</f>
        <v>0.95670586245142142</v>
      </c>
      <c r="C21" s="475">
        <f>E9/E15</f>
        <v>2.2258261435431277</v>
      </c>
      <c r="D21" s="476">
        <f>G9/E15</f>
        <v>4.2429337179293318</v>
      </c>
      <c r="I21" s="26" t="s">
        <v>4</v>
      </c>
      <c r="J21" s="474">
        <f>K9/M15</f>
        <v>1.1604887486670388</v>
      </c>
      <c r="K21" s="475">
        <f>M9/M15</f>
        <v>2.6748977631204061</v>
      </c>
      <c r="L21" s="476">
        <f>O9/M15</f>
        <v>5.068559617621168</v>
      </c>
    </row>
    <row r="22" spans="1:12" x14ac:dyDescent="0.2">
      <c r="A22" s="29" t="s">
        <v>5</v>
      </c>
      <c r="B22" s="477">
        <f>C9/G15</f>
        <v>0.73223461649171717</v>
      </c>
      <c r="C22" s="478">
        <f>E9/G15</f>
        <v>1.7035820690158023</v>
      </c>
      <c r="D22" s="479">
        <f>G9/G15</f>
        <v>3.2474170648301168</v>
      </c>
      <c r="I22" s="29" t="s">
        <v>5</v>
      </c>
      <c r="J22" s="477">
        <f>K9/O15</f>
        <v>0.85108063426695146</v>
      </c>
      <c r="K22" s="478">
        <f>M9/O15</f>
        <v>1.9617197387313416</v>
      </c>
      <c r="L22" s="479">
        <f>O9/O15</f>
        <v>3.717186348544737</v>
      </c>
    </row>
    <row r="29" spans="1:12" x14ac:dyDescent="0.2">
      <c r="E29" s="482"/>
      <c r="F29" s="482"/>
      <c r="G29" s="482"/>
    </row>
    <row r="31" spans="1:12" x14ac:dyDescent="0.2">
      <c r="B31" s="481"/>
      <c r="C31" s="481"/>
      <c r="D31" s="481"/>
      <c r="E31" s="481"/>
      <c r="F31" s="481"/>
      <c r="G31" s="481"/>
    </row>
    <row r="32" spans="1:12" x14ac:dyDescent="0.2">
      <c r="B32" s="481"/>
      <c r="C32" s="481"/>
      <c r="D32" s="481"/>
      <c r="E32" s="482"/>
      <c r="F32" s="482"/>
      <c r="G32" s="482"/>
    </row>
  </sheetData>
  <mergeCells count="14">
    <mergeCell ref="N11:O11"/>
    <mergeCell ref="B3:C3"/>
    <mergeCell ref="D3:E3"/>
    <mergeCell ref="F3:G3"/>
    <mergeCell ref="J3:K3"/>
    <mergeCell ref="L3:M3"/>
    <mergeCell ref="N3:O3"/>
    <mergeCell ref="B18:D18"/>
    <mergeCell ref="J18:L18"/>
    <mergeCell ref="B11:C11"/>
    <mergeCell ref="D11:E11"/>
    <mergeCell ref="F11:G11"/>
    <mergeCell ref="J11:K11"/>
    <mergeCell ref="L11:M11"/>
  </mergeCells>
  <conditionalFormatting sqref="B20:D22">
    <cfRule type="cellIs" dxfId="11" priority="28" operator="equal">
      <formula>1</formula>
    </cfRule>
    <cfRule type="cellIs" dxfId="10" priority="29" operator="greaterThan">
      <formula>1</formula>
    </cfRule>
    <cfRule type="cellIs" dxfId="9" priority="30" operator="lessThan">
      <formula>1</formula>
    </cfRule>
  </conditionalFormatting>
  <conditionalFormatting sqref="J20:L22">
    <cfRule type="cellIs" dxfId="8" priority="25" operator="equal">
      <formula>1</formula>
    </cfRule>
    <cfRule type="cellIs" dxfId="7" priority="26" operator="greaterThan">
      <formula>1</formula>
    </cfRule>
    <cfRule type="cellIs" dxfId="6" priority="27" operator="lessThan">
      <formula>1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Project_Master</vt:lpstr>
      <vt:lpstr>Alternatives_Assumptions</vt:lpstr>
      <vt:lpstr>Benefits_FloodRisk</vt:lpstr>
      <vt:lpstr>Benefits_Rec</vt:lpstr>
      <vt:lpstr>Benefits_Env_Other</vt:lpstr>
      <vt:lpstr>Ag_Revenues</vt:lpstr>
      <vt:lpstr>Costs_O_and_M</vt:lpstr>
      <vt:lpstr>Costs_Capital</vt:lpstr>
      <vt:lpstr>BCA_Summary</vt:lpstr>
      <vt:lpstr>BCA_Summary_85</vt:lpstr>
      <vt:lpstr>NPVHi_CapCost_Alt0</vt:lpstr>
      <vt:lpstr>NPVHi_CapCost_Alt1</vt:lpstr>
      <vt:lpstr>NPVLow_CapCost_Alt0</vt:lpstr>
      <vt:lpstr>NPVLow_CapCost_Alt1</vt:lpstr>
      <vt:lpstr>NPVMid_CapCost_Alt0</vt:lpstr>
      <vt:lpstr>NPVMid_CapCost_Alt1</vt:lpstr>
    </vt:vector>
  </TitlesOfParts>
  <Manager/>
  <Company>Integrative Economics,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Birchard</dc:creator>
  <cp:keywords/>
  <dc:description/>
  <cp:lastModifiedBy>Scott Dusterhoff</cp:lastModifiedBy>
  <dcterms:created xsi:type="dcterms:W3CDTF">2015-03-21T03:23:14Z</dcterms:created>
  <dcterms:modified xsi:type="dcterms:W3CDTF">2017-02-14T19:26:09Z</dcterms:modified>
  <cp:category/>
</cp:coreProperties>
</file>